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44" activeTab="1"/>
  </bookViews>
  <sheets>
    <sheet name="Regnskab2017-2018" sheetId="1" r:id="rId1"/>
    <sheet name="B2016-18 R2013-17" sheetId="2" r:id="rId2"/>
    <sheet name="Regnskab2016_17" sheetId="3" r:id="rId3"/>
    <sheet name="B2015-17 R2012-16" sheetId="4" r:id="rId4"/>
    <sheet name="Regnskab2015_16" sheetId="5" r:id="rId5"/>
    <sheet name="Budget 2015 2016" sheetId="6" r:id="rId6"/>
    <sheet name="Regnskab 2014-15" sheetId="7" r:id="rId7"/>
    <sheet name="B2014-16 R2011-15" sheetId="8" r:id="rId8"/>
    <sheet name="B2013-15 R2010-14" sheetId="9" r:id="rId9"/>
    <sheet name="B2012-14 R2009-13" sheetId="10" r:id="rId10"/>
    <sheet name="B2011-13 R2008-12" sheetId="11" r:id="rId11"/>
    <sheet name="Budget 2011-2012" sheetId="12" r:id="rId12"/>
    <sheet name="Budget 2010-2011" sheetId="13" r:id="rId13"/>
    <sheet name="Hensættelser" sheetId="14" r:id="rId14"/>
    <sheet name="Græsklipning" sheetId="15" r:id="rId15"/>
    <sheet name="R2010-B2012" sheetId="16" r:id="rId16"/>
  </sheets>
  <externalReferences>
    <externalReference r:id="rId19"/>
  </externalReferences>
  <definedNames>
    <definedName name="_xlnm.Print_Area" localSheetId="8">'B2013-15 R2010-14'!$A$1:$H$42</definedName>
    <definedName name="_xlnm.Print_Area" localSheetId="7">'B2014-16 R2011-15'!$A$1:$I$53</definedName>
    <definedName name="_xlnm.Print_Area" localSheetId="3">'B2015-17 R2012-16'!$A$1:$G$51</definedName>
    <definedName name="_xlnm.Print_Area" localSheetId="1">'B2016-18 R2013-17'!$A$1:$G$41</definedName>
    <definedName name="_xlnm.Print_Area" localSheetId="12">'Budget 2010-2011'!$A$1:$C$36</definedName>
    <definedName name="_xlnm.Print_Area" localSheetId="11">'Budget 2011-2012'!$A$1:$C$38</definedName>
    <definedName name="_xlnm.Print_Area" localSheetId="5">'Budget 2015 2016'!$A$1:$B$24</definedName>
    <definedName name="_xlnm.Print_Area" localSheetId="6">'Regnskab 2014-15'!$A$1:$E$62</definedName>
    <definedName name="_xlnm.Print_Area" localSheetId="4">'Regnskab2015_16'!$A$1:$E$59</definedName>
    <definedName name="_xlnm.Print_Area" localSheetId="2">'Regnskab2016_17'!$A$1:$E$59</definedName>
  </definedNames>
  <calcPr fullCalcOnLoad="1"/>
</workbook>
</file>

<file path=xl/sharedStrings.xml><?xml version="1.0" encoding="utf-8"?>
<sst xmlns="http://schemas.openxmlformats.org/spreadsheetml/2006/main" count="781" uniqueCount="265">
  <si>
    <t>Grundejerforeningen Skovbrynet af 2008</t>
  </si>
  <si>
    <t>Regnskab for perioden 01.10.2009 - 30.09.2010</t>
  </si>
  <si>
    <t>Indtægter:</t>
  </si>
  <si>
    <t>6 husstande x 2.800</t>
  </si>
  <si>
    <t>42 husstande x 1.800</t>
  </si>
  <si>
    <t>Udgifter:</t>
  </si>
  <si>
    <t>Webhotel</t>
  </si>
  <si>
    <t>El</t>
  </si>
  <si>
    <t>Snerydning + saltning</t>
  </si>
  <si>
    <t>Generalforsamling</t>
  </si>
  <si>
    <t>Vejfest, leje telt</t>
  </si>
  <si>
    <t>Gebyrer</t>
  </si>
  <si>
    <t>Frimærker og kuverter</t>
  </si>
  <si>
    <t>Overskud drift</t>
  </si>
  <si>
    <t>Renteindtægt</t>
  </si>
  <si>
    <t>Overskud</t>
  </si>
  <si>
    <t>BALANCE:</t>
  </si>
  <si>
    <t>AKTIVER:</t>
  </si>
  <si>
    <t>Indestående bank</t>
  </si>
  <si>
    <t>AKTIVER I ALT:</t>
  </si>
  <si>
    <t>PASSIVER:</t>
  </si>
  <si>
    <t>Skyldig leje af telt</t>
  </si>
  <si>
    <t>Egenkapital:</t>
  </si>
  <si>
    <t>Overført fra sidste år</t>
  </si>
  <si>
    <t>PASSIVER I ALT:</t>
  </si>
  <si>
    <t>Hammel, den 24.10.2010</t>
  </si>
  <si>
    <t>Winnie Rodam (kasserer)</t>
  </si>
  <si>
    <t>Per Højmark (revisor)</t>
  </si>
  <si>
    <t>2 husstande x 2.800</t>
  </si>
  <si>
    <t>46 husstande x 2.000</t>
  </si>
  <si>
    <t>3 husstande x 1.800</t>
  </si>
  <si>
    <t>Hjemmeside</t>
  </si>
  <si>
    <t>Græsklipning</t>
  </si>
  <si>
    <t>Regnskab for perioden 01.10.2010 - 30.09.2011</t>
  </si>
  <si>
    <t>Hammel, den 24.10.2011</t>
  </si>
  <si>
    <t>Rikke Willemoes (kasserer)</t>
  </si>
  <si>
    <t>Vedligeholdelse af vejbelægning</t>
  </si>
  <si>
    <t>Vedligeholdelse gadelys</t>
  </si>
  <si>
    <t>Eludgift gadelys, Skovbrynet + stamvejen</t>
  </si>
  <si>
    <t>Vintertjenester:</t>
  </si>
  <si>
    <t>Snerydning og saltning i forb. hermed</t>
  </si>
  <si>
    <t>Grønne områder:</t>
  </si>
  <si>
    <t>Kontorartikler, frimærker, hjemmeside m.m.</t>
  </si>
  <si>
    <t>Forsikring/Medlemskab PL</t>
  </si>
  <si>
    <t>Sociale udgifter:</t>
  </si>
  <si>
    <t>Estimeret til vejfest, arbejdsdag m.m.</t>
  </si>
  <si>
    <t>SUM</t>
  </si>
  <si>
    <t>Betaling pr. husstand i 2010/2011</t>
  </si>
  <si>
    <t>(Beregnet til 2.217,- men nedrundet til 2.000,-</t>
  </si>
  <si>
    <t>grundet en forholdsmæssig stor opsparing</t>
  </si>
  <si>
    <t>Øl og vand til arbejdslørdag/ekstraord. Grf</t>
  </si>
  <si>
    <t>Driftsaftale, græsklipning</t>
  </si>
  <si>
    <t>Gadelys, opsparing til udskiftning</t>
  </si>
  <si>
    <t>Vejbelægning, vedligeholdelse/opsparing</t>
  </si>
  <si>
    <t>Opsparing</t>
  </si>
  <si>
    <t>Forsikring og kontingent PL</t>
  </si>
  <si>
    <t>Generalforsamling, arbejdsdag, vejfest m.m</t>
  </si>
  <si>
    <t>Pleje af grønne områder (græsklipning m.m.)</t>
  </si>
  <si>
    <t>Gadebelysning:</t>
  </si>
  <si>
    <t>Foreningen:</t>
  </si>
  <si>
    <t>Budget for 2011-2012</t>
  </si>
  <si>
    <t>Veje:</t>
  </si>
  <si>
    <t>Estimeret til småreparationer for at øge levetiden.</t>
  </si>
  <si>
    <t>Opsparing:</t>
  </si>
  <si>
    <t>Ifølge Colas bør et nyt slidlag hvert 12.år forventes</t>
  </si>
  <si>
    <t xml:space="preserve"> - bør afsættes løbende. Påbegyndes i 2010/2011</t>
  </si>
  <si>
    <t>Driftsaftale, græsklipning + gødskning</t>
  </si>
  <si>
    <t>Betaling pr. husstand i 2011/2012</t>
  </si>
  <si>
    <t xml:space="preserve"> - bør afsættes løbende. Påbegyndt i 2010/2011</t>
  </si>
  <si>
    <t>Beløb pr husstand</t>
  </si>
  <si>
    <t xml:space="preserve">til etablering og vedligholdelse af en eventuel legeplads m.m.. </t>
  </si>
  <si>
    <t xml:space="preserve">Tilbageførsel af beløb på 25.000 kr. afsat i Budget 2009/2010 </t>
  </si>
  <si>
    <t>Budget2011/2012</t>
  </si>
  <si>
    <t>Budget2010/2011</t>
  </si>
  <si>
    <t>Budget2009/2010</t>
  </si>
  <si>
    <t>Opsparing pr år</t>
  </si>
  <si>
    <t>Hensættelser i alt oktober 2011</t>
  </si>
  <si>
    <t>Drift i alt</t>
  </si>
  <si>
    <t>Hensættelser i alt</t>
  </si>
  <si>
    <t>Grønne områder</t>
  </si>
  <si>
    <t>Hjemmeside og kontorhold</t>
  </si>
  <si>
    <t>El (inkl. belysning på stamvejen)</t>
  </si>
  <si>
    <t>Forsikring og kontingent til PL</t>
  </si>
  <si>
    <t>B2011/2012</t>
  </si>
  <si>
    <t>B2010/2011</t>
  </si>
  <si>
    <t>R2010/2011</t>
  </si>
  <si>
    <t>R2009/2010</t>
  </si>
  <si>
    <t>R2008/2009</t>
  </si>
  <si>
    <t>Indtægter</t>
  </si>
  <si>
    <t>Resultat</t>
  </si>
  <si>
    <t>Akkumuleret resultat pr 30/09 2011</t>
  </si>
  <si>
    <t xml:space="preserve"> - heraf til opsparing til nyt slidlag og udskifning af lygtepæle</t>
  </si>
  <si>
    <t>Indestående bank pr 30/09 2011</t>
  </si>
  <si>
    <t>- Til etablering af belysnings- og vejfond</t>
  </si>
  <si>
    <t>Hensættelser:</t>
  </si>
  <si>
    <t>38 husstande x 2.800</t>
  </si>
  <si>
    <t>Reparation af gadelys</t>
  </si>
  <si>
    <t>Elarbejde</t>
  </si>
  <si>
    <t>- Til nedsættelse af kontingent for 2011/2012</t>
  </si>
  <si>
    <t>(beløb hensat til vedligehold af legeplads)</t>
  </si>
  <si>
    <t>Beløb til vedligeholdelse/etablering af f.eks legeplads m.m.</t>
  </si>
  <si>
    <t>Budgetlagte hensættelser i alt oktober 2012</t>
  </si>
  <si>
    <t>Til rest*</t>
  </si>
  <si>
    <t>*Da kontigentet for perioden 01.10.2011-30.09.2012 først opkræves i marts, er det nødvendigt med et rimeligt indestående</t>
  </si>
  <si>
    <t xml:space="preserve">på bankkontoen til betaling af regninger, som forfalder frem til marts. Det drejer sig om regninger vedrørende drift </t>
  </si>
  <si>
    <t>-Finansierer takstreduktion i Budget 2011/2012</t>
  </si>
  <si>
    <t>som f. eks el og snerydning. Når der er indbetalt kontingent i marts 2012 indsættes yderligere 40.000 i vejfonden.</t>
  </si>
  <si>
    <t>Revideret, Hammel, den    14/11 2010</t>
  </si>
  <si>
    <t>Revideret, Hammel, den 29/10       2011</t>
  </si>
  <si>
    <t>B2009/2010</t>
  </si>
  <si>
    <t>1 husstand x 1.800</t>
  </si>
  <si>
    <t>Gadespejl</t>
  </si>
  <si>
    <t>Service af gadebelysning</t>
  </si>
  <si>
    <t>B2012/2013</t>
  </si>
  <si>
    <t>Øvrigt (gadebelysning)</t>
  </si>
  <si>
    <t>R2011/2012</t>
  </si>
  <si>
    <t>Kontingentbetalinger</t>
  </si>
  <si>
    <t>Renteindtægt, multikonto</t>
  </si>
  <si>
    <t>Renteindtægt, opsparingskonto</t>
  </si>
  <si>
    <t>Hensættelser til:</t>
  </si>
  <si>
    <t>Akkumuleret overskud, multikonto</t>
  </si>
  <si>
    <t>Akkumuleret overskud, Opsparingskontokonto</t>
  </si>
  <si>
    <t>Akkumuleret overskud i alt</t>
  </si>
  <si>
    <t>Øvrigt (Gadespejl i 2012)</t>
  </si>
  <si>
    <t>Regnskab for perioden 01.10.2011 - 30.09.2012</t>
  </si>
  <si>
    <t>Regnskab for perioden 01.10.2008 - 30.09.2012</t>
  </si>
  <si>
    <t>Indestående særlig opsparingskonto</t>
  </si>
  <si>
    <t>Indestående alm. bankkonto</t>
  </si>
  <si>
    <t>Overført til hensættelser</t>
  </si>
  <si>
    <t>Hensættelser til vejfond og gadelys</t>
  </si>
  <si>
    <t>Søren Holm (revisorsuppleant)</t>
  </si>
  <si>
    <t xml:space="preserve">Græsklipning </t>
  </si>
  <si>
    <t>Gødskning af grønne områder</t>
  </si>
  <si>
    <t>Vejfest, leje af telt m.m.*</t>
  </si>
  <si>
    <t>Årlig kontingenbetaling pr. husstand</t>
  </si>
  <si>
    <t>El, stamvejen</t>
  </si>
  <si>
    <t>R2012/13</t>
  </si>
  <si>
    <t>september</t>
  </si>
  <si>
    <t>oktober</t>
  </si>
  <si>
    <t>april</t>
  </si>
  <si>
    <t>maj</t>
  </si>
  <si>
    <t>juni</t>
  </si>
  <si>
    <t>juli</t>
  </si>
  <si>
    <t>august</t>
  </si>
  <si>
    <t>R2011/12</t>
  </si>
  <si>
    <t>R2010/11</t>
  </si>
  <si>
    <t>Græsklipning, antal gange</t>
  </si>
  <si>
    <t xml:space="preserve">Total antal gange </t>
  </si>
  <si>
    <t>Græsklipning, pris pr. gang</t>
  </si>
  <si>
    <t>Pris i alt</t>
  </si>
  <si>
    <t>De øgede udgifter til græsklipning skyldes at der blev slået græs 2,5 gang mere i 2012 i forhold til 2011, hvilket hovedsageligt skyldes en våd juli i 2012, mens juli 2011 var ret tør. Desuden steg prisen i april 2012 med 43,75 kr pr gang.</t>
  </si>
  <si>
    <t>*Vejfest 2012: Udgifter til is, grillbriketter, fodboldgolfbane m.v., som beløber sig til 1.011,75 kr er bogført i R2012/13.</t>
  </si>
  <si>
    <t>Forsikring og kontingent PL**</t>
  </si>
  <si>
    <t>Hammel, den     .11.2012</t>
  </si>
  <si>
    <t>Revideret, Hammel, den     .11.2012</t>
  </si>
  <si>
    <t>Budget for perioden 01.10.2011 - 30.09.2013</t>
  </si>
  <si>
    <t>Der budgetteres med nedbringelse af det akkumulered overskud på driftskontoen i 2012/13 på kr.25.400, således at der kan være hensættelser til vejfond og lignende på samlet 40.000 kr.</t>
  </si>
  <si>
    <t>Regnskab for perioden 01.10.2008 - 30.09.2009</t>
  </si>
  <si>
    <t xml:space="preserve">**PL inkluderer årlig kontigent pr husstand på 121,70 kr og forsikringspræmie på 1.450 kr. årligt. Væksten i fht. R2010/2011, skyldes at medlemsskabet det første år kun udgjorde 10 måneder. Derudover har PL pålagt deres kunder en midlertidig ekstrapræmie på 250 kr. som følge af at det skal undersøges om der er mulighed for at få en ny arbejdsskadeforsikring. Det nuværende forsikringsselskab kan ikke længere tilbyde PL's medlemmer denne forsikring. </t>
  </si>
  <si>
    <t>Regnskab for perioden 01.10.2012 - 30.09.2013</t>
  </si>
  <si>
    <t>R2012/2013</t>
  </si>
  <si>
    <t>Vejfest 2012</t>
  </si>
  <si>
    <t>Indestående vejfond</t>
  </si>
  <si>
    <t>Renteindtægter</t>
  </si>
  <si>
    <t xml:space="preserve">Hammel, den   </t>
  </si>
  <si>
    <t xml:space="preserve">Revideret, Hammel, den     </t>
  </si>
  <si>
    <t>Akkumuleret overskud, Vejfond</t>
  </si>
  <si>
    <t>B2013/2014</t>
  </si>
  <si>
    <t>R2013/14</t>
  </si>
  <si>
    <t>El**</t>
  </si>
  <si>
    <t>Regnskab for perioden 01.10.2009 - 30.09.2013</t>
  </si>
  <si>
    <t>Budget for perioden 01.10.2012 - 30.09.2014</t>
  </si>
  <si>
    <t>**El er pr 1/7 2013 overgået til Favrskov Kommune</t>
  </si>
  <si>
    <t>akkumuleret</t>
  </si>
  <si>
    <t>Hensættelser til veje er pr 30/9 2014</t>
  </si>
  <si>
    <t>Hvis hensættelser til veje udelukkende skal stå på opsparingskonto og i vejfond skal der i løbet af regnskabsåret 2013/2014 indsættes på vejfond:</t>
  </si>
  <si>
    <t>renteindtægter</t>
  </si>
  <si>
    <t>??</t>
  </si>
  <si>
    <t>R2014/15</t>
  </si>
  <si>
    <t>Regnskab for perioden 01.10.2010 - 30.09.2014</t>
  </si>
  <si>
    <t>R2013/2014</t>
  </si>
  <si>
    <t>B2014/2015</t>
  </si>
  <si>
    <t>45 husstande x 1.500</t>
  </si>
  <si>
    <t>1 husstand i restance</t>
  </si>
  <si>
    <t>Regnskab for perioden 01.10.2013 - 30.09.2014</t>
  </si>
  <si>
    <t>Vejfest</t>
  </si>
  <si>
    <t>Hvis hensættelser til veje udelukkende skal stå på opsparingskonto og i vejfond skal der i løbet af regnskabsåret 2014/2015 stå:</t>
  </si>
  <si>
    <t>Og dermed skal der i løbet af regnskabsåret 2014/15 indsættes på vejfond:</t>
  </si>
  <si>
    <t>Kontingentbetalinger (46 husstande)</t>
  </si>
  <si>
    <t>Renteindtægt, opsparingskonti</t>
  </si>
  <si>
    <t>B2015/2016</t>
  </si>
  <si>
    <t>1 husstand betalt restance fra sidste regnskabsår</t>
  </si>
  <si>
    <t>46 husstande x 1.500</t>
  </si>
  <si>
    <t>Hensættelser til vejfond</t>
  </si>
  <si>
    <t>Regnskab for perioden 01.10.2014 - 30.09.2015</t>
  </si>
  <si>
    <t>Hensættelser til veje er pr 30/9 2015</t>
  </si>
  <si>
    <t>Arbejdslørdag/ekstraord. Grf</t>
  </si>
  <si>
    <t>Akkumuleret overskud, Opsparingskonto</t>
  </si>
  <si>
    <t>Budget
01.10.2014 - 30.09.2016</t>
  </si>
  <si>
    <t>Regnskab
01.10.2012 - 30.09.2015</t>
  </si>
  <si>
    <t>Vejfest, leje af telt m.m.</t>
  </si>
  <si>
    <t>Budget for perioden 01.10.2015 - 30.09.2016</t>
  </si>
  <si>
    <t>R2014/2015</t>
  </si>
  <si>
    <t>Vedligeholdelse af vejbelægning***</t>
  </si>
  <si>
    <t>*** På grund af efterslæbafsættes 20.000 kr til næste år. Efterfølgende forventes et niveau på 10.000 kr.</t>
  </si>
  <si>
    <t>** El er pr 1/7 2013 overgået til Favrskov Kommune</t>
  </si>
  <si>
    <t>* Vejfest 2012: Udgifter til is, grillbriketter, fodboldgolfbane m.v., som beløber sig til 1.011,75 kr er bogført i R2012/13.</t>
  </si>
  <si>
    <t>Gødskning af græsplæne</t>
  </si>
  <si>
    <t>Gødskning af planter i bedene</t>
  </si>
  <si>
    <t>Øvrigt (leje af lift til træbeskæring)</t>
  </si>
  <si>
    <t>Ny vejbelægning i 2035</t>
  </si>
  <si>
    <t>Mangler at spare op:</t>
  </si>
  <si>
    <t>Hensættelser pr. år</t>
  </si>
  <si>
    <t>Hvis kontingen fastholdes skal udgiftsniveauet holdes under:</t>
  </si>
  <si>
    <t>B2016/2017</t>
  </si>
  <si>
    <t>R2015/2016</t>
  </si>
  <si>
    <t>Regnskab for perioden 01.10.2015 - 30.09.2016</t>
  </si>
  <si>
    <t>Vedligehold af vejen</t>
  </si>
  <si>
    <t>Resterende år</t>
  </si>
  <si>
    <t>Græsklipning og gødskning</t>
  </si>
  <si>
    <t>Manglende betaling fra Grundejerforeningen Skovbrynet Øst til vejreparationer</t>
  </si>
  <si>
    <t>Budget
1. oktober - 30.september</t>
  </si>
  <si>
    <t>2) På grund af efterslæb er der afsat 20.000 kr til reparationer af vejen i 2016. Efterfølgende forventes et niveau på 10.000 kr. 
Der har været udgifter på 19.381,25 kr i 2016, hvoraf der mangler betaling på ca. 1/4 af beløbet fra Grundejerforeningen Skovbrynet Øst</t>
  </si>
  <si>
    <t xml:space="preserve">3) Vejfest 2016: Udlæg af Lars Dalsgaard til diverse i forbindelse med vejfesten er ikke modtaget endnu </t>
  </si>
  <si>
    <t>1) El er pr 1/7 2013 overgået til Favrskov Kommune</t>
  </si>
  <si>
    <t>4) I henhold til privatisering af fællesvejene i Favrskov Kommune, overgår det øverste stykke af stamvejen fra rundkørslen 
og ned til kummerne også til privat fællesvej i 2017.</t>
  </si>
  <si>
    <t>20% ekstra i 2017 for at imødekomme øverste del af stamvejen</t>
  </si>
  <si>
    <t>Hensættelser til veje er pr 30/9, akkumuleret</t>
  </si>
  <si>
    <t xml:space="preserve">   </t>
  </si>
  <si>
    <t>R2016/2017</t>
  </si>
  <si>
    <t>B2017/2018</t>
  </si>
  <si>
    <t>Vintertjeneste</t>
  </si>
  <si>
    <t>Gødskning og vedligehold af "Gartnerens have"</t>
  </si>
  <si>
    <r>
      <t>El</t>
    </r>
    <r>
      <rPr>
        <vertAlign val="superscript"/>
        <sz val="11"/>
        <color indexed="8"/>
        <rFont val="Calibri"/>
        <family val="2"/>
      </rPr>
      <t>1)</t>
    </r>
  </si>
  <si>
    <r>
      <t>Vedligeholdelse af vejbelægning</t>
    </r>
    <r>
      <rPr>
        <vertAlign val="superscript"/>
        <sz val="11"/>
        <color indexed="8"/>
        <rFont val="Calibri"/>
        <family val="2"/>
      </rPr>
      <t>2)</t>
    </r>
  </si>
  <si>
    <r>
      <t>Vejfest, leje af telt m.m.</t>
    </r>
    <r>
      <rPr>
        <vertAlign val="superscript"/>
        <sz val="11"/>
        <color indexed="8"/>
        <rFont val="Calibri"/>
        <family val="2"/>
      </rPr>
      <t>3)</t>
    </r>
  </si>
  <si>
    <r>
      <t>Vejbelægning, vedligeholdelse/opsparing</t>
    </r>
    <r>
      <rPr>
        <vertAlign val="superscript"/>
        <sz val="11"/>
        <color indexed="8"/>
        <rFont val="Calibri"/>
        <family val="2"/>
      </rPr>
      <t>4)</t>
    </r>
  </si>
  <si>
    <t>Regnskab for perioden 01.10.2016 - 30.09.2017</t>
  </si>
  <si>
    <t>Akkumuleret overskud, driftskonti</t>
  </si>
  <si>
    <t>4) I henhold til privatisering af fællesvejene i Favrskov Kommune, er beslutningen om, at det øverste stykke af stamvejen fra rundkørslen 
og ned til kummerne også overgår til privat fællesvej fra 2017 sat i stå. Vi afventer beslutning om status på oprindelige private fællesveje også skal overgå til det offentlige.</t>
  </si>
  <si>
    <t>R2017/2018</t>
  </si>
  <si>
    <t>Regnskab for perioden 01.10.2017 - 30.09.2018</t>
  </si>
  <si>
    <t>Generalforsamling + Ekstraordinær generalforsamling.</t>
  </si>
  <si>
    <t>Vejfest 2017 ( forsinkede )</t>
  </si>
  <si>
    <t xml:space="preserve">Vejfest 2018 </t>
  </si>
  <si>
    <t>Gartner udtyndet Rodendonbed + fjerne stubbe</t>
  </si>
  <si>
    <t>Indkøb af 2 stk. fodboldmål</t>
  </si>
  <si>
    <t>Underskud i drift</t>
  </si>
  <si>
    <t>Underskud i regnskabsåret</t>
  </si>
  <si>
    <t>Per Kjær (kasserer)</t>
  </si>
  <si>
    <t>Generalforsamling + ekstra</t>
  </si>
  <si>
    <t>Gødskning og vedligehold af "Gartnerens have" 1)</t>
  </si>
  <si>
    <t>Græs</t>
  </si>
  <si>
    <t>Vinter</t>
  </si>
  <si>
    <t>Gødning</t>
  </si>
  <si>
    <t>Rodedendon</t>
  </si>
  <si>
    <t>Rodendon</t>
  </si>
  <si>
    <t>El = Overgået til Favrskov kommune</t>
  </si>
  <si>
    <t>3) Generalforsamlings beslutning: Indkøb af 2 stk. fodboldsmål  14.519,50 kr.</t>
  </si>
  <si>
    <t>1) Besluttet af bestyrelsen: Udtyndning af "Gartnerens" have og fjerning af stubbe 8,850.00 kr..</t>
  </si>
  <si>
    <t>Indkøb af 2 fodboldmål 3)</t>
  </si>
  <si>
    <t>Vejfest, leje af telt m.m. 2) og 5)</t>
  </si>
  <si>
    <t>5) bestyrelsen foreslår at der bruges 2.000 kr. ekstra på sommerfesten.</t>
  </si>
  <si>
    <t>2) Forsinkede regninger fra sommerfesten i 2017 totalt 1.735,43 kr.</t>
  </si>
  <si>
    <t>B2018/2019</t>
  </si>
</sst>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s>
  <fonts count="49">
    <font>
      <sz val="11"/>
      <color indexed="8"/>
      <name val="Calibri"/>
      <family val="2"/>
    </font>
    <font>
      <b/>
      <sz val="11"/>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i/>
      <sz val="10"/>
      <color indexed="8"/>
      <name val="Calibri"/>
      <family val="2"/>
    </font>
    <font>
      <sz val="12"/>
      <color indexed="8"/>
      <name val="Calibri"/>
      <family val="2"/>
    </font>
    <font>
      <i/>
      <sz val="12"/>
      <color indexed="8"/>
      <name val="Calibri"/>
      <family val="2"/>
    </font>
    <font>
      <i/>
      <sz val="11"/>
      <color indexed="8"/>
      <name val="Calibri"/>
      <family val="2"/>
    </font>
    <font>
      <b/>
      <sz val="10"/>
      <color indexed="8"/>
      <name val="Arial"/>
      <family val="2"/>
    </font>
    <font>
      <sz val="10"/>
      <color indexed="8"/>
      <name val="Arial"/>
      <family val="2"/>
    </font>
    <font>
      <sz val="11"/>
      <color indexed="8"/>
      <name val="Arial"/>
      <family val="2"/>
    </font>
    <font>
      <b/>
      <sz val="11"/>
      <color indexed="8"/>
      <name val="Arial"/>
      <family val="2"/>
    </font>
    <font>
      <b/>
      <u val="single"/>
      <sz val="11"/>
      <color indexed="8"/>
      <name val="Arial"/>
      <family val="2"/>
    </font>
    <font>
      <u val="single"/>
      <sz val="11"/>
      <color indexed="12"/>
      <name val="Calibri"/>
      <family val="2"/>
    </font>
    <font>
      <u val="single"/>
      <sz val="11"/>
      <color indexed="36"/>
      <name val="Calibri"/>
      <family val="2"/>
    </font>
    <font>
      <b/>
      <sz val="12"/>
      <color indexed="8"/>
      <name val="Arial"/>
      <family val="2"/>
    </font>
    <font>
      <vertAlign val="superscript"/>
      <sz val="11"/>
      <color indexed="8"/>
      <name val="Calibri"/>
      <family val="2"/>
    </font>
    <font>
      <sz val="8"/>
      <color indexed="8"/>
      <name val="Arial"/>
      <family val="2"/>
    </font>
    <font>
      <sz val="10"/>
      <color indexed="9"/>
      <name val="Verdana"/>
      <family val="2"/>
    </font>
    <font>
      <i/>
      <sz val="10"/>
      <color indexed="23"/>
      <name val="Verdana"/>
      <family val="2"/>
    </font>
    <font>
      <b/>
      <sz val="10"/>
      <color indexed="9"/>
      <name val="Verdana"/>
      <family val="2"/>
    </font>
    <font>
      <b/>
      <sz val="15"/>
      <color indexed="62"/>
      <name val="Verdana"/>
      <family val="2"/>
    </font>
    <font>
      <b/>
      <sz val="13"/>
      <color indexed="62"/>
      <name val="Verdana"/>
      <family val="2"/>
    </font>
    <font>
      <b/>
      <sz val="11"/>
      <color indexed="62"/>
      <name val="Verdana"/>
      <family val="2"/>
    </font>
    <font>
      <sz val="10"/>
      <color indexed="52"/>
      <name val="Verdana"/>
      <family val="2"/>
    </font>
    <font>
      <sz val="10"/>
      <color indexed="20"/>
      <name val="Verdana"/>
      <family val="2"/>
    </font>
    <font>
      <sz val="10"/>
      <color theme="0"/>
      <name val="Verdana"/>
      <family val="2"/>
    </font>
    <font>
      <i/>
      <sz val="10"/>
      <color rgb="FF7F7F7F"/>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FA7D00"/>
      <name val="Verdana"/>
      <family val="2"/>
    </font>
    <font>
      <sz val="10"/>
      <color rgb="FF9C0006"/>
      <name val="Verdan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47"/>
        <bgColor indexed="64"/>
      </patternFill>
    </fill>
    <fill>
      <patternFill patternType="solid">
        <fgColor theme="0" tint="-0.1499900072813034"/>
        <bgColor indexed="64"/>
      </patternFill>
    </fill>
    <fill>
      <patternFill patternType="solid">
        <fgColor theme="0" tint="-0.0499799996614456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style="thin"/>
      <top style="thin"/>
      <bottom>
        <color indexed="63"/>
      </bottom>
    </border>
    <border>
      <left/>
      <right/>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8" fillId="3" borderId="0" applyNumberFormat="0" applyBorder="0" applyAlignment="0" applyProtection="0"/>
    <xf numFmtId="0" fontId="12" fillId="7" borderId="1" applyNumberFormat="0" applyAlignment="0" applyProtection="0"/>
    <xf numFmtId="0" fontId="1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10" fillId="7" borderId="1" applyNumberFormat="0" applyAlignment="0" applyProtection="0"/>
    <xf numFmtId="0" fontId="43" fillId="27" borderId="6" applyNumberFormat="0" applyAlignment="0" applyProtection="0"/>
    <xf numFmtId="0" fontId="13" fillId="0" borderId="7" applyNumberFormat="0" applyFill="0" applyAlignment="0" applyProtection="0"/>
    <xf numFmtId="0" fontId="9" fillId="28" borderId="0" applyNumberFormat="0" applyBorder="0" applyAlignment="0" applyProtection="0"/>
    <xf numFmtId="0" fontId="0" fillId="29" borderId="8" applyNumberFormat="0" applyFont="0" applyAlignment="0" applyProtection="0"/>
    <xf numFmtId="0" fontId="11" fillId="7" borderId="9" applyNumberFormat="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13" applyNumberFormat="0" applyFill="0" applyAlignment="0" applyProtection="0"/>
    <xf numFmtId="0" fontId="3" fillId="0" borderId="0" applyNumberFormat="0" applyFill="0" applyBorder="0" applyAlignment="0" applyProtection="0"/>
    <xf numFmtId="0" fontId="1" fillId="0" borderId="14" applyNumberFormat="0" applyFill="0" applyAlignment="0" applyProtection="0"/>
    <xf numFmtId="0" fontId="48" fillId="30" borderId="0" applyNumberFormat="0" applyBorder="0" applyAlignment="0" applyProtection="0"/>
    <xf numFmtId="0" fontId="15" fillId="0" borderId="0" applyNumberFormat="0" applyFill="0" applyBorder="0" applyAlignment="0" applyProtection="0"/>
  </cellStyleXfs>
  <cellXfs count="245">
    <xf numFmtId="0" fontId="0" fillId="0" borderId="0" xfId="0" applyAlignment="1">
      <alignment/>
    </xf>
    <xf numFmtId="0" fontId="23" fillId="0" borderId="15" xfId="0" applyFont="1" applyBorder="1" applyAlignment="1">
      <alignment horizontal="center"/>
    </xf>
    <xf numFmtId="0" fontId="24" fillId="0" borderId="0" xfId="0" applyFont="1" applyAlignment="1">
      <alignment horizontal="left" vertical="center" wrapText="1"/>
    </xf>
    <xf numFmtId="43" fontId="0" fillId="0" borderId="0" xfId="42" applyFont="1"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3" fontId="0" fillId="0" borderId="16" xfId="0" applyNumberFormat="1" applyBorder="1" applyAlignment="1">
      <alignment/>
    </xf>
    <xf numFmtId="0" fontId="19" fillId="0" borderId="0" xfId="0" applyFont="1" applyAlignment="1">
      <alignment/>
    </xf>
    <xf numFmtId="3" fontId="1" fillId="0" borderId="17" xfId="0" applyNumberFormat="1" applyFont="1" applyBorder="1" applyAlignment="1">
      <alignment/>
    </xf>
    <xf numFmtId="3" fontId="0" fillId="0" borderId="18" xfId="0" applyNumberFormat="1" applyBorder="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0" fontId="20" fillId="0" borderId="19" xfId="0" applyFont="1" applyBorder="1" applyAlignment="1">
      <alignment/>
    </xf>
    <xf numFmtId="3" fontId="20" fillId="0" borderId="19" xfId="0" applyNumberFormat="1" applyFont="1" applyBorder="1" applyAlignment="1">
      <alignment/>
    </xf>
    <xf numFmtId="3" fontId="2" fillId="0" borderId="0" xfId="0" applyNumberFormat="1" applyFont="1" applyAlignment="1">
      <alignment/>
    </xf>
    <xf numFmtId="3" fontId="2" fillId="0" borderId="17" xfId="0" applyNumberFormat="1" applyFont="1" applyBorder="1" applyAlignment="1">
      <alignment/>
    </xf>
    <xf numFmtId="3" fontId="2" fillId="0" borderId="18" xfId="0" applyNumberFormat="1" applyFont="1" applyBorder="1" applyAlignment="1">
      <alignment/>
    </xf>
    <xf numFmtId="0" fontId="0" fillId="0" borderId="16" xfId="0" applyBorder="1" applyAlignment="1">
      <alignment/>
    </xf>
    <xf numFmtId="0" fontId="0" fillId="7" borderId="20" xfId="0" applyFill="1" applyBorder="1" applyAlignment="1">
      <alignment/>
    </xf>
    <xf numFmtId="3" fontId="0" fillId="0" borderId="21" xfId="0" applyNumberFormat="1" applyBorder="1" applyAlignment="1">
      <alignment/>
    </xf>
    <xf numFmtId="3" fontId="1" fillId="0" borderId="22" xfId="0" applyNumberFormat="1" applyFont="1" applyBorder="1" applyAlignment="1">
      <alignment/>
    </xf>
    <xf numFmtId="0" fontId="0" fillId="0" borderId="21" xfId="0" applyBorder="1" applyAlignment="1">
      <alignment/>
    </xf>
    <xf numFmtId="0" fontId="1" fillId="0" borderId="22" xfId="0" applyFont="1" applyBorder="1" applyAlignment="1">
      <alignment/>
    </xf>
    <xf numFmtId="0" fontId="22" fillId="0" borderId="0" xfId="0" applyFont="1" applyAlignment="1">
      <alignment/>
    </xf>
    <xf numFmtId="0" fontId="2" fillId="0" borderId="0" xfId="0" applyFont="1" applyAlignment="1" quotePrefix="1">
      <alignment/>
    </xf>
    <xf numFmtId="0" fontId="2" fillId="0" borderId="19" xfId="0" applyFont="1" applyBorder="1" applyAlignment="1">
      <alignment/>
    </xf>
    <xf numFmtId="3" fontId="2" fillId="0" borderId="19" xfId="0" applyNumberFormat="1" applyFont="1" applyBorder="1" applyAlignment="1">
      <alignment/>
    </xf>
    <xf numFmtId="0" fontId="22" fillId="0" borderId="0" xfId="0" applyFont="1" applyAlignment="1" quotePrefix="1">
      <alignment/>
    </xf>
    <xf numFmtId="43" fontId="24" fillId="0" borderId="0" xfId="42" applyFont="1" applyAlignment="1">
      <alignment/>
    </xf>
    <xf numFmtId="0" fontId="24" fillId="0" borderId="0" xfId="0" applyFont="1" applyAlignment="1">
      <alignment/>
    </xf>
    <xf numFmtId="0" fontId="23" fillId="0" borderId="21" xfId="0" applyFont="1" applyBorder="1" applyAlignment="1">
      <alignment/>
    </xf>
    <xf numFmtId="0" fontId="24" fillId="0" borderId="21" xfId="0" applyFont="1" applyBorder="1" applyAlignment="1">
      <alignment/>
    </xf>
    <xf numFmtId="0" fontId="24" fillId="0" borderId="23" xfId="0" applyFont="1" applyBorder="1" applyAlignment="1">
      <alignment/>
    </xf>
    <xf numFmtId="0" fontId="24" fillId="0" borderId="24" xfId="0" applyFont="1" applyBorder="1" applyAlignment="1">
      <alignment/>
    </xf>
    <xf numFmtId="0" fontId="23" fillId="0" borderId="23" xfId="0" applyFont="1" applyBorder="1" applyAlignment="1">
      <alignment/>
    </xf>
    <xf numFmtId="0" fontId="24" fillId="31" borderId="21" xfId="0" applyFont="1" applyFill="1" applyBorder="1" applyAlignment="1">
      <alignment/>
    </xf>
    <xf numFmtId="43" fontId="25" fillId="0" borderId="0" xfId="42" applyFont="1" applyAlignment="1">
      <alignment/>
    </xf>
    <xf numFmtId="0" fontId="25" fillId="0" borderId="0" xfId="0" applyFont="1" applyAlignment="1">
      <alignment/>
    </xf>
    <xf numFmtId="0" fontId="26" fillId="0" borderId="0" xfId="0" applyFont="1" applyAlignment="1">
      <alignment/>
    </xf>
    <xf numFmtId="43" fontId="25" fillId="0" borderId="25" xfId="42" applyFont="1" applyBorder="1" applyAlignment="1">
      <alignment/>
    </xf>
    <xf numFmtId="43" fontId="26" fillId="0" borderId="0" xfId="42" applyFont="1" applyAlignment="1">
      <alignment/>
    </xf>
    <xf numFmtId="43" fontId="26" fillId="0" borderId="18" xfId="42" applyFont="1" applyBorder="1" applyAlignment="1">
      <alignment/>
    </xf>
    <xf numFmtId="0" fontId="25" fillId="0" borderId="18" xfId="0" applyFont="1" applyBorder="1" applyAlignment="1">
      <alignment/>
    </xf>
    <xf numFmtId="43" fontId="25" fillId="0" borderId="18" xfId="42" applyFont="1" applyBorder="1" applyAlignment="1">
      <alignment/>
    </xf>
    <xf numFmtId="0" fontId="27" fillId="0" borderId="0" xfId="0" applyFont="1" applyAlignment="1">
      <alignment/>
    </xf>
    <xf numFmtId="43" fontId="25" fillId="0" borderId="0" xfId="42" applyFont="1" applyBorder="1" applyAlignment="1">
      <alignment/>
    </xf>
    <xf numFmtId="0" fontId="25" fillId="0" borderId="25" xfId="0" applyFont="1" applyBorder="1" applyAlignment="1">
      <alignment/>
    </xf>
    <xf numFmtId="0" fontId="0" fillId="0" borderId="21" xfId="0" applyFill="1" applyBorder="1" applyAlignment="1">
      <alignment/>
    </xf>
    <xf numFmtId="0" fontId="0" fillId="0" borderId="20" xfId="0" applyFill="1" applyBorder="1" applyAlignment="1">
      <alignment/>
    </xf>
    <xf numFmtId="171" fontId="24" fillId="0" borderId="0" xfId="0" applyNumberFormat="1" applyFont="1" applyAlignment="1">
      <alignment/>
    </xf>
    <xf numFmtId="0" fontId="23" fillId="0" borderId="20" xfId="0" applyFont="1" applyBorder="1" applyAlignment="1">
      <alignment/>
    </xf>
    <xf numFmtId="0" fontId="0" fillId="0" borderId="0" xfId="0" applyFill="1" applyAlignment="1">
      <alignment/>
    </xf>
    <xf numFmtId="0" fontId="0" fillId="0" borderId="24" xfId="0" applyFill="1" applyBorder="1" applyAlignment="1">
      <alignment/>
    </xf>
    <xf numFmtId="0" fontId="0" fillId="0" borderId="23" xfId="0" applyFill="1" applyBorder="1" applyAlignment="1">
      <alignment/>
    </xf>
    <xf numFmtId="4" fontId="0" fillId="0" borderId="24" xfId="0" applyNumberFormat="1" applyFill="1" applyBorder="1" applyAlignment="1">
      <alignment/>
    </xf>
    <xf numFmtId="4" fontId="0" fillId="0" borderId="21" xfId="0" applyNumberFormat="1" applyFill="1" applyBorder="1" applyAlignment="1">
      <alignment/>
    </xf>
    <xf numFmtId="4" fontId="0" fillId="0" borderId="0" xfId="0" applyNumberFormat="1" applyFill="1" applyAlignment="1">
      <alignment/>
    </xf>
    <xf numFmtId="4" fontId="0" fillId="0" borderId="23" xfId="0" applyNumberFormat="1" applyFill="1" applyBorder="1" applyAlignment="1">
      <alignment/>
    </xf>
    <xf numFmtId="4" fontId="0" fillId="0" borderId="20" xfId="0" applyNumberFormat="1" applyFill="1" applyBorder="1" applyAlignment="1">
      <alignment/>
    </xf>
    <xf numFmtId="0" fontId="23" fillId="7" borderId="26" xfId="0" applyFont="1" applyFill="1" applyBorder="1" applyAlignment="1">
      <alignment/>
    </xf>
    <xf numFmtId="0" fontId="23" fillId="7" borderId="26" xfId="0" applyFont="1" applyFill="1" applyBorder="1" applyAlignment="1">
      <alignment horizontal="right"/>
    </xf>
    <xf numFmtId="0" fontId="23" fillId="7" borderId="27" xfId="0" applyFont="1" applyFill="1" applyBorder="1" applyAlignment="1">
      <alignment horizontal="right"/>
    </xf>
    <xf numFmtId="0" fontId="23" fillId="7" borderId="19" xfId="0" applyFont="1" applyFill="1" applyBorder="1" applyAlignment="1">
      <alignment horizontal="right"/>
    </xf>
    <xf numFmtId="4" fontId="23" fillId="0" borderId="28" xfId="0" applyNumberFormat="1" applyFont="1" applyBorder="1" applyAlignment="1">
      <alignment/>
    </xf>
    <xf numFmtId="4" fontId="23" fillId="0" borderId="29" xfId="0" applyNumberFormat="1" applyFont="1" applyBorder="1" applyAlignment="1">
      <alignment/>
    </xf>
    <xf numFmtId="4" fontId="24" fillId="0" borderId="0" xfId="42" applyNumberFormat="1" applyFont="1" applyBorder="1" applyAlignment="1">
      <alignment/>
    </xf>
    <xf numFmtId="4" fontId="24" fillId="0" borderId="29" xfId="42" applyNumberFormat="1" applyFont="1" applyBorder="1" applyAlignment="1">
      <alignment/>
    </xf>
    <xf numFmtId="4" fontId="23" fillId="0" borderId="28" xfId="42" applyNumberFormat="1" applyFont="1" applyBorder="1" applyAlignment="1">
      <alignment/>
    </xf>
    <xf numFmtId="4" fontId="23" fillId="0" borderId="29" xfId="42" applyNumberFormat="1" applyFont="1" applyBorder="1" applyAlignment="1">
      <alignment/>
    </xf>
    <xf numFmtId="4" fontId="23" fillId="0" borderId="0" xfId="42" applyNumberFormat="1" applyFont="1" applyBorder="1" applyAlignment="1">
      <alignment/>
    </xf>
    <xf numFmtId="4" fontId="24" fillId="31" borderId="28" xfId="42" applyNumberFormat="1" applyFont="1" applyFill="1" applyBorder="1" applyAlignment="1">
      <alignment/>
    </xf>
    <xf numFmtId="4" fontId="24" fillId="31" borderId="29" xfId="42" applyNumberFormat="1" applyFont="1" applyFill="1" applyBorder="1" applyAlignment="1">
      <alignment/>
    </xf>
    <xf numFmtId="4" fontId="24" fillId="31" borderId="0" xfId="42" applyNumberFormat="1" applyFont="1" applyFill="1" applyBorder="1" applyAlignment="1">
      <alignment/>
    </xf>
    <xf numFmtId="4" fontId="24" fillId="0" borderId="28" xfId="0" applyNumberFormat="1" applyFont="1" applyBorder="1" applyAlignment="1">
      <alignment/>
    </xf>
    <xf numFmtId="4" fontId="24" fillId="31" borderId="30" xfId="0" applyNumberFormat="1" applyFont="1" applyFill="1" applyBorder="1" applyAlignment="1">
      <alignment/>
    </xf>
    <xf numFmtId="4" fontId="24" fillId="31" borderId="31" xfId="42" applyNumberFormat="1" applyFont="1" applyFill="1" applyBorder="1" applyAlignment="1">
      <alignment/>
    </xf>
    <xf numFmtId="4" fontId="24" fillId="31" borderId="25" xfId="42" applyNumberFormat="1" applyFont="1" applyFill="1" applyBorder="1" applyAlignment="1">
      <alignment/>
    </xf>
    <xf numFmtId="4" fontId="24" fillId="0" borderId="28" xfId="42" applyNumberFormat="1" applyFont="1" applyBorder="1" applyAlignment="1">
      <alignment/>
    </xf>
    <xf numFmtId="4" fontId="24" fillId="31" borderId="29" xfId="0" applyNumberFormat="1" applyFont="1" applyFill="1" applyBorder="1" applyAlignment="1">
      <alignment/>
    </xf>
    <xf numFmtId="4" fontId="24" fillId="0" borderId="32" xfId="0" applyNumberFormat="1" applyFont="1" applyBorder="1" applyAlignment="1">
      <alignment/>
    </xf>
    <xf numFmtId="4" fontId="24" fillId="0" borderId="33" xfId="42" applyNumberFormat="1" applyFont="1" applyBorder="1" applyAlignment="1">
      <alignment/>
    </xf>
    <xf numFmtId="4" fontId="24" fillId="0" borderId="15" xfId="42" applyNumberFormat="1" applyFont="1" applyBorder="1" applyAlignment="1">
      <alignment/>
    </xf>
    <xf numFmtId="4" fontId="23" fillId="0" borderId="30" xfId="42" applyNumberFormat="1" applyFont="1" applyBorder="1" applyAlignment="1">
      <alignment/>
    </xf>
    <xf numFmtId="4" fontId="23" fillId="0" borderId="31" xfId="42" applyNumberFormat="1" applyFont="1" applyBorder="1" applyAlignment="1">
      <alignment/>
    </xf>
    <xf numFmtId="4" fontId="23" fillId="0" borderId="25" xfId="42" applyNumberFormat="1" applyFont="1" applyBorder="1" applyAlignment="1">
      <alignment/>
    </xf>
    <xf numFmtId="4" fontId="24" fillId="31" borderId="28" xfId="0" applyNumberFormat="1" applyFont="1" applyFill="1" applyBorder="1" applyAlignment="1">
      <alignment/>
    </xf>
    <xf numFmtId="4" fontId="24" fillId="31" borderId="0" xfId="0" applyNumberFormat="1" applyFont="1" applyFill="1" applyBorder="1" applyAlignment="1">
      <alignment/>
    </xf>
    <xf numFmtId="4" fontId="24" fillId="0" borderId="29" xfId="0" applyNumberFormat="1" applyFont="1" applyBorder="1" applyAlignment="1">
      <alignment/>
    </xf>
    <xf numFmtId="4" fontId="24" fillId="0" borderId="0" xfId="0" applyNumberFormat="1" applyFont="1" applyBorder="1" applyAlignment="1">
      <alignment/>
    </xf>
    <xf numFmtId="4" fontId="24" fillId="0" borderId="33" xfId="0" applyNumberFormat="1" applyFont="1" applyBorder="1" applyAlignment="1">
      <alignment/>
    </xf>
    <xf numFmtId="4" fontId="24" fillId="0" borderId="30" xfId="42" applyNumberFormat="1" applyFont="1" applyBorder="1" applyAlignment="1">
      <alignment/>
    </xf>
    <xf numFmtId="4" fontId="24" fillId="0" borderId="31" xfId="42" applyNumberFormat="1" applyFont="1" applyBorder="1" applyAlignment="1">
      <alignment/>
    </xf>
    <xf numFmtId="4" fontId="24" fillId="0" borderId="25" xfId="42" applyNumberFormat="1" applyFont="1" applyBorder="1" applyAlignment="1">
      <alignment/>
    </xf>
    <xf numFmtId="4" fontId="24" fillId="0" borderId="30" xfId="0" applyNumberFormat="1" applyFont="1" applyBorder="1" applyAlignment="1">
      <alignment/>
    </xf>
    <xf numFmtId="0" fontId="0" fillId="0" borderId="20" xfId="0" applyFill="1" applyBorder="1" applyAlignment="1">
      <alignment horizontal="right"/>
    </xf>
    <xf numFmtId="0" fontId="23" fillId="0" borderId="28" xfId="0" applyFont="1" applyBorder="1" applyAlignment="1">
      <alignment/>
    </xf>
    <xf numFmtId="0" fontId="24" fillId="0" borderId="32" xfId="0" applyFont="1" applyBorder="1" applyAlignment="1">
      <alignment/>
    </xf>
    <xf numFmtId="0" fontId="24" fillId="31" borderId="28" xfId="0" applyFont="1" applyFill="1" applyBorder="1" applyAlignment="1">
      <alignment/>
    </xf>
    <xf numFmtId="0" fontId="24" fillId="0" borderId="30" xfId="0" applyFont="1" applyBorder="1" applyAlignment="1">
      <alignment/>
    </xf>
    <xf numFmtId="4" fontId="24" fillId="0" borderId="0" xfId="0" applyNumberFormat="1" applyFont="1" applyAlignment="1">
      <alignment/>
    </xf>
    <xf numFmtId="4" fontId="24" fillId="0" borderId="32" xfId="42" applyNumberFormat="1" applyFont="1" applyBorder="1" applyAlignment="1">
      <alignment/>
    </xf>
    <xf numFmtId="4" fontId="24" fillId="31" borderId="30" xfId="42" applyNumberFormat="1" applyFont="1" applyFill="1" applyBorder="1" applyAlignment="1">
      <alignment/>
    </xf>
    <xf numFmtId="4" fontId="24" fillId="31" borderId="31" xfId="0" applyNumberFormat="1" applyFont="1" applyFill="1" applyBorder="1" applyAlignment="1">
      <alignment/>
    </xf>
    <xf numFmtId="4" fontId="23" fillId="0" borderId="0" xfId="0" applyNumberFormat="1" applyFont="1" applyAlignment="1">
      <alignment/>
    </xf>
    <xf numFmtId="4" fontId="23" fillId="0" borderId="16" xfId="0" applyNumberFormat="1" applyFont="1" applyBorder="1" applyAlignment="1">
      <alignment/>
    </xf>
    <xf numFmtId="43" fontId="26" fillId="0" borderId="0" xfId="42" applyFont="1" applyBorder="1" applyAlignment="1">
      <alignment/>
    </xf>
    <xf numFmtId="0" fontId="23" fillId="7" borderId="20" xfId="0" applyFont="1" applyFill="1" applyBorder="1" applyAlignment="1">
      <alignment horizontal="right"/>
    </xf>
    <xf numFmtId="4" fontId="23" fillId="0" borderId="21" xfId="0" applyNumberFormat="1" applyFont="1" applyBorder="1" applyAlignment="1">
      <alignment/>
    </xf>
    <xf numFmtId="4" fontId="23" fillId="0" borderId="21" xfId="42" applyNumberFormat="1" applyFont="1" applyBorder="1" applyAlignment="1">
      <alignment/>
    </xf>
    <xf numFmtId="4" fontId="24" fillId="31" borderId="21" xfId="42" applyNumberFormat="1" applyFont="1" applyFill="1" applyBorder="1" applyAlignment="1">
      <alignment/>
    </xf>
    <xf numFmtId="4" fontId="24" fillId="0" borderId="21" xfId="0" applyNumberFormat="1" applyFont="1" applyBorder="1" applyAlignment="1">
      <alignment/>
    </xf>
    <xf numFmtId="4" fontId="24" fillId="31" borderId="23" xfId="0" applyNumberFormat="1" applyFont="1" applyFill="1" applyBorder="1" applyAlignment="1">
      <alignment/>
    </xf>
    <xf numFmtId="4" fontId="24" fillId="0" borderId="21" xfId="42" applyNumberFormat="1" applyFont="1" applyBorder="1" applyAlignment="1">
      <alignment/>
    </xf>
    <xf numFmtId="4" fontId="24" fillId="0" borderId="24" xfId="0" applyNumberFormat="1" applyFont="1" applyBorder="1" applyAlignment="1">
      <alignment/>
    </xf>
    <xf numFmtId="4" fontId="23" fillId="0" borderId="23" xfId="42" applyNumberFormat="1" applyFont="1" applyBorder="1" applyAlignment="1">
      <alignment/>
    </xf>
    <xf numFmtId="4" fontId="24" fillId="31" borderId="21" xfId="0" applyNumberFormat="1" applyFont="1" applyFill="1" applyBorder="1" applyAlignment="1">
      <alignment/>
    </xf>
    <xf numFmtId="4" fontId="24" fillId="0" borderId="23" xfId="42" applyNumberFormat="1" applyFont="1" applyBorder="1" applyAlignment="1">
      <alignment/>
    </xf>
    <xf numFmtId="4" fontId="24" fillId="0" borderId="23" xfId="0" applyNumberFormat="1" applyFont="1" applyBorder="1" applyAlignment="1">
      <alignment/>
    </xf>
    <xf numFmtId="0" fontId="23" fillId="0" borderId="19" xfId="0" applyFont="1" applyBorder="1" applyAlignment="1">
      <alignment/>
    </xf>
    <xf numFmtId="0" fontId="23" fillId="0" borderId="27" xfId="0" applyFont="1" applyBorder="1" applyAlignment="1">
      <alignment/>
    </xf>
    <xf numFmtId="0" fontId="30" fillId="0" borderId="20" xfId="0" applyFont="1" applyBorder="1" applyAlignment="1">
      <alignment/>
    </xf>
    <xf numFmtId="4" fontId="24" fillId="31" borderId="28" xfId="42" applyNumberFormat="1" applyFont="1" applyFill="1" applyBorder="1" applyAlignment="1">
      <alignment wrapText="1"/>
    </xf>
    <xf numFmtId="0" fontId="24" fillId="0" borderId="20" xfId="0" applyFont="1" applyBorder="1" applyAlignment="1">
      <alignment/>
    </xf>
    <xf numFmtId="0" fontId="23" fillId="0" borderId="0" xfId="0" applyFont="1" applyBorder="1" applyAlignment="1">
      <alignment/>
    </xf>
    <xf numFmtId="0" fontId="23" fillId="0" borderId="0" xfId="0" applyFont="1" applyBorder="1" applyAlignment="1">
      <alignment/>
    </xf>
    <xf numFmtId="0" fontId="23" fillId="7" borderId="20" xfId="0" applyFont="1" applyFill="1" applyBorder="1" applyAlignment="1">
      <alignment/>
    </xf>
    <xf numFmtId="0" fontId="23" fillId="0" borderId="21" xfId="0" applyFont="1" applyFill="1" applyBorder="1" applyAlignment="1">
      <alignment/>
    </xf>
    <xf numFmtId="4" fontId="23" fillId="0" borderId="21" xfId="0" applyNumberFormat="1" applyFont="1" applyFill="1" applyBorder="1" applyAlignment="1">
      <alignment/>
    </xf>
    <xf numFmtId="4" fontId="23" fillId="0" borderId="21" xfId="42" applyNumberFormat="1" applyFont="1" applyFill="1" applyBorder="1" applyAlignment="1">
      <alignment/>
    </xf>
    <xf numFmtId="0" fontId="24" fillId="0" borderId="21" xfId="0" applyFont="1" applyFill="1" applyBorder="1" applyAlignment="1">
      <alignment/>
    </xf>
    <xf numFmtId="4" fontId="24" fillId="0" borderId="21" xfId="42" applyNumberFormat="1" applyFont="1" applyFill="1" applyBorder="1" applyAlignment="1">
      <alignment/>
    </xf>
    <xf numFmtId="4" fontId="24" fillId="0" borderId="21" xfId="0" applyNumberFormat="1" applyFont="1" applyFill="1" applyBorder="1" applyAlignment="1">
      <alignment/>
    </xf>
    <xf numFmtId="4" fontId="24" fillId="0" borderId="23" xfId="0" applyNumberFormat="1" applyFont="1" applyFill="1" applyBorder="1" applyAlignment="1">
      <alignment/>
    </xf>
    <xf numFmtId="0" fontId="24" fillId="0" borderId="24" xfId="0" applyFont="1" applyFill="1" applyBorder="1" applyAlignment="1">
      <alignment/>
    </xf>
    <xf numFmtId="4" fontId="24" fillId="0" borderId="24" xfId="0" applyNumberFormat="1" applyFont="1" applyFill="1" applyBorder="1" applyAlignment="1">
      <alignment/>
    </xf>
    <xf numFmtId="0" fontId="24" fillId="0" borderId="32" xfId="0" applyFont="1" applyFill="1" applyBorder="1" applyAlignment="1">
      <alignment/>
    </xf>
    <xf numFmtId="0" fontId="24" fillId="0" borderId="23" xfId="0" applyFont="1" applyFill="1" applyBorder="1" applyAlignment="1">
      <alignment/>
    </xf>
    <xf numFmtId="4" fontId="24" fillId="0" borderId="28" xfId="42" applyNumberFormat="1" applyFont="1" applyFill="1" applyBorder="1" applyAlignment="1">
      <alignment/>
    </xf>
    <xf numFmtId="4" fontId="24" fillId="0" borderId="30" xfId="42" applyNumberFormat="1" applyFont="1" applyFill="1" applyBorder="1" applyAlignment="1">
      <alignment/>
    </xf>
    <xf numFmtId="4" fontId="24" fillId="0" borderId="25" xfId="42" applyNumberFormat="1" applyFont="1" applyFill="1" applyBorder="1" applyAlignment="1">
      <alignment/>
    </xf>
    <xf numFmtId="4" fontId="24" fillId="0" borderId="31" xfId="42" applyNumberFormat="1" applyFont="1" applyFill="1" applyBorder="1" applyAlignment="1">
      <alignment/>
    </xf>
    <xf numFmtId="4" fontId="24" fillId="0" borderId="31" xfId="0" applyNumberFormat="1" applyFont="1" applyFill="1" applyBorder="1" applyAlignment="1">
      <alignment/>
    </xf>
    <xf numFmtId="0" fontId="30" fillId="0" borderId="20" xfId="0" applyFont="1" applyBorder="1" applyAlignment="1">
      <alignment/>
    </xf>
    <xf numFmtId="0" fontId="24" fillId="0" borderId="0" xfId="0" applyFont="1" applyAlignment="1">
      <alignment/>
    </xf>
    <xf numFmtId="43" fontId="24" fillId="0" borderId="0" xfId="42" applyFont="1" applyAlignment="1">
      <alignment/>
    </xf>
    <xf numFmtId="0" fontId="24" fillId="0" borderId="20" xfId="0" applyFont="1" applyBorder="1" applyAlignment="1">
      <alignment/>
    </xf>
    <xf numFmtId="0" fontId="23" fillId="0" borderId="15" xfId="0" applyFont="1" applyBorder="1" applyAlignment="1">
      <alignment horizontal="center" wrapText="1"/>
    </xf>
    <xf numFmtId="0" fontId="23" fillId="0" borderId="19" xfId="0" applyFont="1" applyBorder="1" applyAlignment="1">
      <alignment/>
    </xf>
    <xf numFmtId="0" fontId="23" fillId="0" borderId="27" xfId="0" applyFont="1" applyBorder="1" applyAlignment="1">
      <alignment/>
    </xf>
    <xf numFmtId="0" fontId="23" fillId="7" borderId="26" xfId="0" applyFont="1" applyFill="1" applyBorder="1" applyAlignment="1">
      <alignment/>
    </xf>
    <xf numFmtId="0" fontId="23" fillId="7" borderId="26" xfId="0" applyFont="1" applyFill="1" applyBorder="1" applyAlignment="1">
      <alignment horizontal="right"/>
    </xf>
    <xf numFmtId="0" fontId="23" fillId="7" borderId="19" xfId="0" applyFont="1" applyFill="1" applyBorder="1" applyAlignment="1">
      <alignment horizontal="right"/>
    </xf>
    <xf numFmtId="0" fontId="23" fillId="7" borderId="27" xfId="0" applyFont="1" applyFill="1" applyBorder="1" applyAlignment="1">
      <alignment horizontal="right"/>
    </xf>
    <xf numFmtId="0" fontId="23" fillId="0" borderId="21" xfId="0" applyFont="1" applyBorder="1" applyAlignment="1">
      <alignment/>
    </xf>
    <xf numFmtId="4" fontId="23" fillId="0" borderId="28" xfId="0" applyNumberFormat="1" applyFont="1" applyBorder="1" applyAlignment="1">
      <alignment/>
    </xf>
    <xf numFmtId="4" fontId="24" fillId="0" borderId="28" xfId="42" applyNumberFormat="1" applyFont="1" applyBorder="1" applyAlignment="1">
      <alignment/>
    </xf>
    <xf numFmtId="4" fontId="24" fillId="0" borderId="0" xfId="42" applyNumberFormat="1" applyFont="1" applyBorder="1" applyAlignment="1">
      <alignment/>
    </xf>
    <xf numFmtId="4" fontId="24" fillId="0" borderId="29" xfId="42" applyNumberFormat="1" applyFont="1" applyBorder="1" applyAlignment="1">
      <alignment/>
    </xf>
    <xf numFmtId="4" fontId="23" fillId="0" borderId="28" xfId="42" applyNumberFormat="1" applyFont="1" applyBorder="1" applyAlignment="1">
      <alignment/>
    </xf>
    <xf numFmtId="4" fontId="23" fillId="0" borderId="0" xfId="42" applyNumberFormat="1" applyFont="1" applyBorder="1" applyAlignment="1">
      <alignment/>
    </xf>
    <xf numFmtId="4" fontId="23" fillId="0" borderId="29" xfId="42" applyNumberFormat="1" applyFont="1" applyBorder="1" applyAlignment="1">
      <alignment/>
    </xf>
    <xf numFmtId="0" fontId="24" fillId="31" borderId="21" xfId="0" applyFont="1" applyFill="1" applyBorder="1" applyAlignment="1">
      <alignment/>
    </xf>
    <xf numFmtId="4" fontId="24" fillId="31" borderId="28" xfId="42" applyNumberFormat="1" applyFont="1" applyFill="1" applyBorder="1" applyAlignment="1">
      <alignment wrapText="1"/>
    </xf>
    <xf numFmtId="4" fontId="24" fillId="31" borderId="28" xfId="42" applyNumberFormat="1" applyFont="1" applyFill="1" applyBorder="1" applyAlignment="1">
      <alignment/>
    </xf>
    <xf numFmtId="4" fontId="24" fillId="31" borderId="0" xfId="42" applyNumberFormat="1" applyFont="1" applyFill="1" applyBorder="1" applyAlignment="1">
      <alignment/>
    </xf>
    <xf numFmtId="4" fontId="24" fillId="31" borderId="29" xfId="42" applyNumberFormat="1" applyFont="1" applyFill="1" applyBorder="1" applyAlignment="1">
      <alignment/>
    </xf>
    <xf numFmtId="0" fontId="24" fillId="0" borderId="21" xfId="0" applyFont="1" applyBorder="1" applyAlignment="1">
      <alignment/>
    </xf>
    <xf numFmtId="4" fontId="24" fillId="0" borderId="28" xfId="0" applyNumberFormat="1" applyFont="1" applyBorder="1" applyAlignment="1">
      <alignment/>
    </xf>
    <xf numFmtId="4" fontId="24" fillId="31" borderId="30" xfId="0" applyNumberFormat="1" applyFont="1" applyFill="1" applyBorder="1" applyAlignment="1">
      <alignment/>
    </xf>
    <xf numFmtId="4" fontId="24" fillId="31" borderId="30" xfId="42" applyNumberFormat="1" applyFont="1" applyFill="1" applyBorder="1" applyAlignment="1">
      <alignment/>
    </xf>
    <xf numFmtId="4" fontId="24" fillId="31" borderId="25" xfId="42" applyNumberFormat="1" applyFont="1" applyFill="1" applyBorder="1" applyAlignment="1">
      <alignment/>
    </xf>
    <xf numFmtId="4" fontId="24" fillId="31" borderId="31" xfId="42" applyNumberFormat="1" applyFont="1" applyFill="1" applyBorder="1" applyAlignment="1">
      <alignment/>
    </xf>
    <xf numFmtId="0" fontId="24" fillId="0" borderId="24" xfId="0" applyFont="1" applyBorder="1" applyAlignment="1">
      <alignment/>
    </xf>
    <xf numFmtId="4" fontId="24" fillId="0" borderId="32" xfId="42" applyNumberFormat="1" applyFont="1" applyBorder="1" applyAlignment="1">
      <alignment/>
    </xf>
    <xf numFmtId="4" fontId="24" fillId="0" borderId="15" xfId="42" applyNumberFormat="1" applyFont="1" applyBorder="1" applyAlignment="1">
      <alignment/>
    </xf>
    <xf numFmtId="4" fontId="24" fillId="0" borderId="33" xfId="42" applyNumberFormat="1" applyFont="1" applyBorder="1" applyAlignment="1">
      <alignment/>
    </xf>
    <xf numFmtId="4" fontId="24" fillId="31" borderId="29" xfId="0" applyNumberFormat="1" applyFont="1" applyFill="1" applyBorder="1" applyAlignment="1">
      <alignment/>
    </xf>
    <xf numFmtId="0" fontId="24" fillId="0" borderId="21" xfId="0" applyFont="1" applyFill="1" applyBorder="1" applyAlignment="1">
      <alignment wrapText="1"/>
    </xf>
    <xf numFmtId="4" fontId="24" fillId="0" borderId="28" xfId="42" applyNumberFormat="1" applyFont="1" applyFill="1" applyBorder="1" applyAlignment="1">
      <alignment/>
    </xf>
    <xf numFmtId="4" fontId="24" fillId="0" borderId="30" xfId="42" applyNumberFormat="1" applyFont="1" applyFill="1" applyBorder="1" applyAlignment="1">
      <alignment/>
    </xf>
    <xf numFmtId="4" fontId="24" fillId="0" borderId="25" xfId="42" applyNumberFormat="1" applyFont="1" applyFill="1" applyBorder="1" applyAlignment="1">
      <alignment/>
    </xf>
    <xf numFmtId="4" fontId="24" fillId="0" borderId="31" xfId="42" applyNumberFormat="1" applyFont="1" applyFill="1" applyBorder="1" applyAlignment="1">
      <alignment/>
    </xf>
    <xf numFmtId="4" fontId="24" fillId="0" borderId="31" xfId="0" applyNumberFormat="1" applyFont="1" applyFill="1" applyBorder="1" applyAlignment="1">
      <alignment/>
    </xf>
    <xf numFmtId="4" fontId="24" fillId="0" borderId="32" xfId="0" applyNumberFormat="1" applyFont="1" applyBorder="1" applyAlignment="1">
      <alignment/>
    </xf>
    <xf numFmtId="0" fontId="23" fillId="0" borderId="23" xfId="0" applyFont="1" applyBorder="1" applyAlignment="1">
      <alignment/>
    </xf>
    <xf numFmtId="4" fontId="23" fillId="0" borderId="30" xfId="42" applyNumberFormat="1" applyFont="1" applyBorder="1" applyAlignment="1">
      <alignment/>
    </xf>
    <xf numFmtId="4" fontId="23" fillId="0" borderId="25" xfId="42" applyNumberFormat="1" applyFont="1" applyBorder="1" applyAlignment="1">
      <alignment/>
    </xf>
    <xf numFmtId="4" fontId="23" fillId="0" borderId="31" xfId="42" applyNumberFormat="1" applyFont="1" applyBorder="1" applyAlignment="1">
      <alignment/>
    </xf>
    <xf numFmtId="4" fontId="24" fillId="31" borderId="28" xfId="0" applyNumberFormat="1" applyFont="1" applyFill="1" applyBorder="1" applyAlignment="1">
      <alignment/>
    </xf>
    <xf numFmtId="4" fontId="24" fillId="31" borderId="0" xfId="0" applyNumberFormat="1" applyFont="1" applyFill="1" applyBorder="1" applyAlignment="1">
      <alignment/>
    </xf>
    <xf numFmtId="4" fontId="24" fillId="0" borderId="0" xfId="0" applyNumberFormat="1" applyFont="1" applyBorder="1" applyAlignment="1">
      <alignment/>
    </xf>
    <xf numFmtId="4" fontId="24" fillId="0" borderId="29" xfId="0" applyNumberFormat="1" applyFont="1" applyBorder="1" applyAlignment="1">
      <alignment/>
    </xf>
    <xf numFmtId="0" fontId="24" fillId="0" borderId="32" xfId="0" applyFont="1" applyBorder="1" applyAlignment="1">
      <alignment/>
    </xf>
    <xf numFmtId="0" fontId="23" fillId="0" borderId="28" xfId="0" applyFont="1" applyBorder="1" applyAlignment="1">
      <alignment/>
    </xf>
    <xf numFmtId="0" fontId="24" fillId="31" borderId="28" xfId="0" applyFont="1" applyFill="1" applyBorder="1" applyAlignment="1">
      <alignment/>
    </xf>
    <xf numFmtId="0" fontId="24" fillId="0" borderId="30" xfId="0" applyFont="1" applyBorder="1" applyAlignment="1">
      <alignment/>
    </xf>
    <xf numFmtId="4" fontId="24" fillId="0" borderId="30" xfId="42" applyNumberFormat="1" applyFont="1" applyBorder="1" applyAlignment="1">
      <alignment/>
    </xf>
    <xf numFmtId="4" fontId="24" fillId="0" borderId="25" xfId="42" applyNumberFormat="1" applyFont="1" applyBorder="1" applyAlignment="1">
      <alignment/>
    </xf>
    <xf numFmtId="4" fontId="24" fillId="0" borderId="31" xfId="42" applyNumberFormat="1" applyFont="1" applyBorder="1" applyAlignment="1">
      <alignment/>
    </xf>
    <xf numFmtId="4" fontId="24" fillId="0" borderId="24" xfId="0" applyNumberFormat="1" applyFont="1" applyBorder="1" applyAlignment="1">
      <alignment/>
    </xf>
    <xf numFmtId="4" fontId="23" fillId="0" borderId="21" xfId="42" applyNumberFormat="1" applyFont="1" applyBorder="1" applyAlignment="1">
      <alignment/>
    </xf>
    <xf numFmtId="0" fontId="24" fillId="0" borderId="23" xfId="0" applyFont="1" applyBorder="1" applyAlignment="1">
      <alignment/>
    </xf>
    <xf numFmtId="4" fontId="24" fillId="0" borderId="30" xfId="0" applyNumberFormat="1" applyFont="1" applyBorder="1" applyAlignment="1">
      <alignment/>
    </xf>
    <xf numFmtId="4" fontId="24" fillId="0" borderId="23" xfId="0" applyNumberFormat="1" applyFont="1" applyBorder="1" applyAlignment="1">
      <alignment/>
    </xf>
    <xf numFmtId="0" fontId="24" fillId="0" borderId="0" xfId="0" applyFont="1" applyAlignment="1">
      <alignment vertical="center"/>
    </xf>
    <xf numFmtId="43" fontId="24" fillId="0" borderId="0" xfId="42" applyFont="1" applyAlignment="1">
      <alignment vertical="center"/>
    </xf>
    <xf numFmtId="0" fontId="23" fillId="32" borderId="0" xfId="0" applyFont="1" applyFill="1" applyAlignment="1">
      <alignment/>
    </xf>
    <xf numFmtId="4" fontId="23" fillId="32" borderId="0" xfId="0" applyNumberFormat="1" applyFont="1" applyFill="1" applyAlignment="1">
      <alignment/>
    </xf>
    <xf numFmtId="0" fontId="32" fillId="0" borderId="0" xfId="0" applyFont="1" applyAlignment="1">
      <alignment/>
    </xf>
    <xf numFmtId="0" fontId="24" fillId="32" borderId="0" xfId="0" applyFont="1" applyFill="1" applyAlignment="1">
      <alignment/>
    </xf>
    <xf numFmtId="0" fontId="23" fillId="33" borderId="19" xfId="0" applyFont="1" applyFill="1" applyBorder="1" applyAlignment="1">
      <alignment/>
    </xf>
    <xf numFmtId="0" fontId="24" fillId="33" borderId="0" xfId="0" applyFont="1" applyFill="1" applyBorder="1" applyAlignment="1">
      <alignment/>
    </xf>
    <xf numFmtId="4" fontId="23" fillId="33" borderId="0" xfId="0" applyNumberFormat="1" applyFont="1" applyFill="1" applyBorder="1" applyAlignment="1">
      <alignment/>
    </xf>
    <xf numFmtId="4" fontId="23" fillId="0" borderId="0" xfId="0" applyNumberFormat="1" applyFont="1" applyAlignment="1">
      <alignment/>
    </xf>
    <xf numFmtId="4" fontId="24" fillId="33" borderId="0" xfId="0" applyNumberFormat="1" applyFont="1" applyFill="1" applyBorder="1" applyAlignment="1">
      <alignment/>
    </xf>
    <xf numFmtId="0" fontId="24" fillId="33" borderId="25" xfId="0" applyFont="1" applyFill="1" applyBorder="1" applyAlignment="1">
      <alignment/>
    </xf>
    <xf numFmtId="4" fontId="24" fillId="33" borderId="25" xfId="0" applyNumberFormat="1" applyFont="1" applyFill="1" applyBorder="1" applyAlignment="1">
      <alignment/>
    </xf>
    <xf numFmtId="4" fontId="24" fillId="0" borderId="30" xfId="0" applyNumberFormat="1" applyFont="1" applyFill="1" applyBorder="1" applyAlignment="1">
      <alignment/>
    </xf>
    <xf numFmtId="0" fontId="24" fillId="0" borderId="0" xfId="0" applyFont="1" applyFill="1" applyAlignment="1">
      <alignment/>
    </xf>
    <xf numFmtId="0" fontId="0" fillId="0" borderId="0" xfId="0" applyBorder="1" applyAlignment="1">
      <alignment/>
    </xf>
    <xf numFmtId="43" fontId="24" fillId="0" borderId="0" xfId="42" applyFont="1" applyFill="1" applyAlignment="1">
      <alignment horizontal="right"/>
    </xf>
    <xf numFmtId="43" fontId="25" fillId="0" borderId="0" xfId="42" applyFont="1" applyFill="1" applyAlignment="1">
      <alignment/>
    </xf>
    <xf numFmtId="43" fontId="25" fillId="0" borderId="25" xfId="42" applyFont="1" applyFill="1" applyBorder="1" applyAlignment="1">
      <alignment/>
    </xf>
    <xf numFmtId="0" fontId="24" fillId="0" borderId="0" xfId="0" applyFont="1" applyAlignment="1">
      <alignment vertical="center"/>
    </xf>
    <xf numFmtId="0" fontId="23" fillId="0" borderId="32" xfId="0" applyFont="1" applyBorder="1" applyAlignment="1">
      <alignment horizontal="center" wrapText="1"/>
    </xf>
    <xf numFmtId="0" fontId="23" fillId="0" borderId="33" xfId="0" applyFont="1" applyBorder="1" applyAlignment="1">
      <alignment horizontal="center" wrapText="1"/>
    </xf>
    <xf numFmtId="0" fontId="23" fillId="0" borderId="26" xfId="0" applyFont="1" applyBorder="1" applyAlignment="1">
      <alignment horizontal="center" wrapText="1"/>
    </xf>
    <xf numFmtId="0" fontId="23" fillId="0" borderId="19" xfId="0" applyFont="1" applyBorder="1" applyAlignment="1">
      <alignment horizontal="center"/>
    </xf>
    <xf numFmtId="0" fontId="23" fillId="0" borderId="27" xfId="0" applyFont="1" applyBorder="1" applyAlignment="1">
      <alignment horizontal="center"/>
    </xf>
    <xf numFmtId="0" fontId="24"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3" fillId="0" borderId="32" xfId="0" applyFont="1" applyBorder="1" applyAlignment="1">
      <alignment horizontal="center" wrapText="1"/>
    </xf>
    <xf numFmtId="0" fontId="23" fillId="0" borderId="33" xfId="0" applyFont="1" applyBorder="1" applyAlignment="1">
      <alignment horizontal="center" wrapText="1"/>
    </xf>
    <xf numFmtId="0" fontId="24" fillId="0" borderId="0" xfId="0" applyFont="1" applyAlignment="1">
      <alignment horizontal="left" wrapText="1"/>
    </xf>
    <xf numFmtId="0" fontId="23" fillId="0" borderId="26" xfId="0" applyFont="1" applyBorder="1" applyAlignment="1">
      <alignment horizontal="center" wrapText="1"/>
    </xf>
    <xf numFmtId="0" fontId="23" fillId="0" borderId="19" xfId="0" applyFont="1" applyBorder="1" applyAlignment="1">
      <alignment horizontal="center"/>
    </xf>
    <xf numFmtId="0" fontId="23" fillId="0" borderId="27"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23" fillId="0" borderId="15" xfId="0" applyFont="1" applyBorder="1" applyAlignment="1">
      <alignment horizontal="center"/>
    </xf>
    <xf numFmtId="0" fontId="0" fillId="0" borderId="0" xfId="0" applyFill="1" applyAlignment="1">
      <alignment horizontal="lef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arve1" xfId="47"/>
    <cellStyle name="Farve2" xfId="48"/>
    <cellStyle name="Farve3" xfId="49"/>
    <cellStyle name="Farve4" xfId="50"/>
    <cellStyle name="Farve5" xfId="51"/>
    <cellStyle name="Farve6" xfId="52"/>
    <cellStyle name="Followed Hyperlink" xfId="53"/>
    <cellStyle name="Forklarende tekst" xfId="54"/>
    <cellStyle name="Good" xfId="55"/>
    <cellStyle name="Heading 1" xfId="56"/>
    <cellStyle name="Heading 2" xfId="57"/>
    <cellStyle name="Heading 3" xfId="58"/>
    <cellStyle name="Heading 4" xfId="59"/>
    <cellStyle name="Hyperlink" xfId="60"/>
    <cellStyle name="Input" xfId="61"/>
    <cellStyle name="Kontrollér celle" xfId="62"/>
    <cellStyle name="Linked Cell" xfId="63"/>
    <cellStyle name="Neutral" xfId="64"/>
    <cellStyle name="Note" xfId="65"/>
    <cellStyle name="Output" xfId="66"/>
    <cellStyle name="Overskrift 1" xfId="67"/>
    <cellStyle name="Overskrift 2" xfId="68"/>
    <cellStyle name="Overskrift 3" xfId="69"/>
    <cellStyle name="Overskrift 4" xfId="70"/>
    <cellStyle name="Percent" xfId="71"/>
    <cellStyle name="Sammenkædet celle" xfId="72"/>
    <cellStyle name="Title" xfId="73"/>
    <cellStyle name="Total" xfId="74"/>
    <cellStyle name="Ugyldig"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undejerforening\Regnskab%2001okt2017%20-%2030sep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nskab2017-18"/>
      <sheetName val="B2016-18 R2013-18"/>
      <sheetName val="Regnskab2016_17"/>
      <sheetName val="B2015-17 R2012-16"/>
      <sheetName val="Regnskab2015_16"/>
      <sheetName val="Budget 2015 2016"/>
      <sheetName val="Regnskab 2014-15"/>
      <sheetName val="B2014-16 R2011-15"/>
      <sheetName val="B2013-15 R2010-14"/>
      <sheetName val="B2012-14 R2009-13"/>
      <sheetName val="B2011-13 R2008-12"/>
      <sheetName val="Budget 2011-2012"/>
      <sheetName val="Budget 2010-2011"/>
      <sheetName val="Hensættelser"/>
      <sheetName val="Græsklipning"/>
      <sheetName val="R2010-B2012"/>
    </sheetNames>
    <sheetDataSet>
      <sheetData sheetId="4">
        <row r="45">
          <cell r="D45">
            <v>220000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9"/>
  <sheetViews>
    <sheetView zoomScalePageLayoutView="0" workbookViewId="0" topLeftCell="A1">
      <selection activeCell="D36" sqref="D36"/>
    </sheetView>
  </sheetViews>
  <sheetFormatPr defaultColWidth="9.140625" defaultRowHeight="15"/>
  <cols>
    <col min="1" max="1" width="54.57421875" style="0" customWidth="1"/>
    <col min="2" max="5" width="13.7109375" style="0" customWidth="1"/>
    <col min="11" max="11" width="12.140625" style="0" customWidth="1"/>
  </cols>
  <sheetData>
    <row r="1" spans="1:6" ht="14.25">
      <c r="A1" s="40" t="s">
        <v>0</v>
      </c>
      <c r="B1" s="38"/>
      <c r="C1" s="38"/>
      <c r="D1" s="38"/>
      <c r="E1" s="38"/>
      <c r="F1" s="39"/>
    </row>
    <row r="2" spans="1:6" ht="14.25">
      <c r="A2" s="46" t="s">
        <v>241</v>
      </c>
      <c r="B2" s="38"/>
      <c r="C2" s="38"/>
      <c r="D2" s="38"/>
      <c r="E2" s="38"/>
      <c r="F2" s="39"/>
    </row>
    <row r="3" spans="1:6" ht="14.25">
      <c r="A3" s="39"/>
      <c r="B3" s="38"/>
      <c r="C3" s="38"/>
      <c r="D3" s="38"/>
      <c r="E3" s="38"/>
      <c r="F3" s="39"/>
    </row>
    <row r="4" spans="1:16" ht="14.25">
      <c r="A4" s="40"/>
      <c r="B4" s="38"/>
      <c r="C4" s="38"/>
      <c r="D4" s="38"/>
      <c r="E4" s="38"/>
      <c r="F4" s="39"/>
      <c r="H4" t="s">
        <v>252</v>
      </c>
      <c r="I4" t="s">
        <v>253</v>
      </c>
      <c r="J4" t="s">
        <v>254</v>
      </c>
      <c r="K4" t="s">
        <v>255</v>
      </c>
      <c r="L4" t="s">
        <v>253</v>
      </c>
      <c r="M4" t="s">
        <v>252</v>
      </c>
      <c r="N4" t="s">
        <v>256</v>
      </c>
      <c r="P4" t="s">
        <v>253</v>
      </c>
    </row>
    <row r="5" spans="1:6" ht="14.25">
      <c r="A5" s="39"/>
      <c r="B5" s="38"/>
      <c r="C5" s="38"/>
      <c r="D5" s="38"/>
      <c r="E5" s="38"/>
      <c r="F5" s="39"/>
    </row>
    <row r="6" spans="1:13" ht="14.25">
      <c r="A6" s="39" t="s">
        <v>2</v>
      </c>
      <c r="B6" s="38"/>
      <c r="C6" s="38"/>
      <c r="D6" s="38"/>
      <c r="E6" s="38"/>
      <c r="F6" s="39"/>
      <c r="H6">
        <v>2205</v>
      </c>
      <c r="L6">
        <v>2756.25</v>
      </c>
      <c r="M6">
        <v>2756.25</v>
      </c>
    </row>
    <row r="7" spans="1:13" ht="14.25">
      <c r="A7" s="39" t="s">
        <v>192</v>
      </c>
      <c r="B7" s="38"/>
      <c r="C7" s="38"/>
      <c r="D7" s="47">
        <f>46*1500</f>
        <v>69000</v>
      </c>
      <c r="E7" s="47"/>
      <c r="F7" s="39"/>
      <c r="H7">
        <v>2205</v>
      </c>
      <c r="L7">
        <v>2756.25</v>
      </c>
      <c r="M7">
        <v>2756.25</v>
      </c>
    </row>
    <row r="8" spans="1:15" ht="14.25">
      <c r="A8" s="39"/>
      <c r="B8" s="39"/>
      <c r="C8" s="39"/>
      <c r="D8" s="41"/>
      <c r="E8" s="39"/>
      <c r="F8" s="39"/>
      <c r="H8">
        <v>735</v>
      </c>
      <c r="I8">
        <v>1622.5</v>
      </c>
      <c r="J8">
        <v>3115</v>
      </c>
      <c r="K8">
        <v>5580</v>
      </c>
      <c r="L8">
        <v>4739.06</v>
      </c>
      <c r="M8">
        <v>918.75</v>
      </c>
      <c r="O8">
        <v>3893.75</v>
      </c>
    </row>
    <row r="9" spans="1:13" ht="14.25">
      <c r="A9" s="39"/>
      <c r="B9" s="38"/>
      <c r="C9" s="38"/>
      <c r="D9" s="38">
        <f>SUM(D7:D8)</f>
        <v>69000</v>
      </c>
      <c r="E9" s="38"/>
      <c r="F9" s="39"/>
      <c r="H9">
        <v>2205</v>
      </c>
      <c r="I9">
        <v>968.75</v>
      </c>
      <c r="K9">
        <v>1500</v>
      </c>
      <c r="L9">
        <v>1162.5</v>
      </c>
      <c r="M9">
        <v>2756.25</v>
      </c>
    </row>
    <row r="10" spans="1:13" ht="14.25">
      <c r="A10" s="39"/>
      <c r="B10" s="38"/>
      <c r="C10" s="38"/>
      <c r="D10" s="38"/>
      <c r="E10" s="38"/>
      <c r="F10" s="39"/>
      <c r="H10">
        <v>1470</v>
      </c>
      <c r="I10">
        <v>1200</v>
      </c>
      <c r="L10">
        <v>4417.19</v>
      </c>
      <c r="M10">
        <v>1837.5</v>
      </c>
    </row>
    <row r="11" spans="1:14" ht="14.25">
      <c r="A11" s="39" t="s">
        <v>5</v>
      </c>
      <c r="B11" s="38"/>
      <c r="C11" s="38"/>
      <c r="D11" s="38"/>
      <c r="E11" s="38"/>
      <c r="F11" s="39"/>
      <c r="H11">
        <v>735</v>
      </c>
      <c r="I11">
        <v>442.5</v>
      </c>
      <c r="L11">
        <v>1993.75</v>
      </c>
      <c r="M11">
        <v>918.75</v>
      </c>
      <c r="N11">
        <v>8850</v>
      </c>
    </row>
    <row r="12" spans="1:16" ht="14.25">
      <c r="A12" s="39" t="s">
        <v>31</v>
      </c>
      <c r="B12" s="223">
        <v>716.75</v>
      </c>
      <c r="C12" s="38"/>
      <c r="D12" s="38"/>
      <c r="E12" s="38"/>
      <c r="F12" s="39"/>
      <c r="H12">
        <v>1470</v>
      </c>
      <c r="I12">
        <v>487.5</v>
      </c>
      <c r="L12">
        <v>4812.5</v>
      </c>
      <c r="M12">
        <v>1837.5</v>
      </c>
      <c r="P12">
        <v>4739.06</v>
      </c>
    </row>
    <row r="13" spans="1:16" ht="14.25">
      <c r="A13" s="39" t="s">
        <v>55</v>
      </c>
      <c r="B13" s="223">
        <v>8026</v>
      </c>
      <c r="C13" s="38"/>
      <c r="D13" s="38"/>
      <c r="E13" s="38"/>
      <c r="F13" s="39"/>
      <c r="I13">
        <v>2065</v>
      </c>
      <c r="L13">
        <v>2756.25</v>
      </c>
      <c r="P13">
        <v>1162.5</v>
      </c>
    </row>
    <row r="14" spans="1:16" ht="14.25">
      <c r="A14" s="39" t="s">
        <v>8</v>
      </c>
      <c r="B14" s="223">
        <v>12312.5</v>
      </c>
      <c r="C14" s="38"/>
      <c r="D14" s="38"/>
      <c r="E14" s="38"/>
      <c r="F14" s="39"/>
      <c r="I14">
        <v>193.75</v>
      </c>
      <c r="L14">
        <v>1837.5</v>
      </c>
      <c r="P14">
        <v>4417.19</v>
      </c>
    </row>
    <row r="15" spans="1:16" ht="14.25">
      <c r="A15" s="39" t="s">
        <v>219</v>
      </c>
      <c r="B15" s="223">
        <v>17675</v>
      </c>
      <c r="C15" s="38"/>
      <c r="D15" s="38"/>
      <c r="E15" s="38"/>
      <c r="F15" s="39"/>
      <c r="I15">
        <v>1275</v>
      </c>
      <c r="L15">
        <v>9768.75</v>
      </c>
      <c r="P15">
        <v>1993.75</v>
      </c>
    </row>
    <row r="16" spans="1:9" ht="14.25">
      <c r="A16" s="39" t="s">
        <v>242</v>
      </c>
      <c r="B16" s="223">
        <v>500</v>
      </c>
      <c r="C16" s="38"/>
      <c r="D16" s="38"/>
      <c r="E16" s="38"/>
      <c r="F16" s="39"/>
      <c r="I16">
        <v>1032.5</v>
      </c>
    </row>
    <row r="17" spans="1:9" ht="14.25">
      <c r="A17" s="39" t="s">
        <v>243</v>
      </c>
      <c r="B17" s="223">
        <v>1735.43</v>
      </c>
      <c r="C17" s="38"/>
      <c r="D17" s="38"/>
      <c r="E17" s="38"/>
      <c r="F17" s="39"/>
      <c r="I17">
        <v>562.5</v>
      </c>
    </row>
    <row r="18" spans="1:6" ht="14.25">
      <c r="A18" s="39" t="s">
        <v>244</v>
      </c>
      <c r="B18" s="223">
        <v>5230</v>
      </c>
      <c r="C18" s="38"/>
      <c r="D18" s="38"/>
      <c r="E18" s="38"/>
      <c r="F18" s="39"/>
    </row>
    <row r="19" spans="1:16" ht="14.25">
      <c r="A19" s="39" t="s">
        <v>11</v>
      </c>
      <c r="B19" s="223">
        <v>1375</v>
      </c>
      <c r="C19" s="38"/>
      <c r="D19" s="47"/>
      <c r="E19" s="38"/>
      <c r="F19" s="39"/>
      <c r="H19">
        <v>11025</v>
      </c>
      <c r="I19">
        <v>9850</v>
      </c>
      <c r="J19">
        <v>3115</v>
      </c>
      <c r="K19">
        <v>7080</v>
      </c>
      <c r="L19">
        <v>38837.5</v>
      </c>
      <c r="M19">
        <v>13781.25</v>
      </c>
      <c r="N19">
        <v>8850</v>
      </c>
      <c r="O19">
        <v>3893.75</v>
      </c>
      <c r="P19">
        <v>12312.5</v>
      </c>
    </row>
    <row r="20" spans="1:6" ht="14.25">
      <c r="A20" s="39" t="s">
        <v>245</v>
      </c>
      <c r="B20" s="223">
        <v>8850</v>
      </c>
      <c r="C20" s="38"/>
      <c r="D20" s="47"/>
      <c r="E20" s="38"/>
      <c r="F20" s="39"/>
    </row>
    <row r="21" spans="1:6" ht="14.25">
      <c r="A21" s="39" t="s">
        <v>246</v>
      </c>
      <c r="B21" s="224">
        <v>14519.5</v>
      </c>
      <c r="C21" s="38"/>
      <c r="D21" s="41">
        <f>SUM(B12:B21)</f>
        <v>70940.18</v>
      </c>
      <c r="E21" s="47"/>
      <c r="F21" s="39"/>
    </row>
    <row r="22" spans="1:6" ht="14.25">
      <c r="A22" s="39"/>
      <c r="B22" s="39"/>
      <c r="C22" s="38"/>
      <c r="D22" s="39"/>
      <c r="E22" s="39"/>
      <c r="F22" s="39"/>
    </row>
    <row r="23" spans="1:6" ht="14.25">
      <c r="A23" s="39"/>
      <c r="B23" s="38"/>
      <c r="C23" s="38"/>
      <c r="D23" s="38"/>
      <c r="E23" s="38"/>
      <c r="F23" s="39"/>
    </row>
    <row r="24" spans="1:6" ht="14.25">
      <c r="A24" s="39" t="s">
        <v>247</v>
      </c>
      <c r="B24" s="38"/>
      <c r="C24" s="38"/>
      <c r="D24" s="38">
        <f>D9-D21</f>
        <v>-1940.179999999993</v>
      </c>
      <c r="E24" s="38"/>
      <c r="F24" s="39"/>
    </row>
    <row r="25" spans="1:11" ht="14.25">
      <c r="A25" s="39"/>
      <c r="B25" s="38"/>
      <c r="C25" s="38"/>
      <c r="D25" s="38"/>
      <c r="E25" s="38"/>
      <c r="F25" s="39"/>
      <c r="J25" s="221"/>
      <c r="K25" s="221"/>
    </row>
    <row r="26" spans="1:6" ht="14.25">
      <c r="A26" s="39" t="s">
        <v>163</v>
      </c>
      <c r="B26" s="38"/>
      <c r="C26" s="38"/>
      <c r="D26" s="41">
        <v>59.91</v>
      </c>
      <c r="E26" s="47"/>
      <c r="F26" s="39"/>
    </row>
    <row r="27" spans="1:6" ht="14.25">
      <c r="A27" s="39"/>
      <c r="B27" s="38"/>
      <c r="C27" s="38"/>
      <c r="D27" s="38"/>
      <c r="E27" s="38"/>
      <c r="F27" s="39"/>
    </row>
    <row r="28" spans="1:6" ht="15" thickBot="1">
      <c r="A28" s="40" t="s">
        <v>248</v>
      </c>
      <c r="B28" s="42"/>
      <c r="C28" s="42"/>
      <c r="D28" s="43">
        <f>D24+D26</f>
        <v>-1880.269999999993</v>
      </c>
      <c r="E28" s="107"/>
      <c r="F28" s="39"/>
    </row>
    <row r="29" spans="1:6" ht="15" thickBot="1">
      <c r="A29" s="44"/>
      <c r="B29" s="45"/>
      <c r="C29" s="45"/>
      <c r="D29" s="45"/>
      <c r="E29" s="45"/>
      <c r="F29" s="39"/>
    </row>
    <row r="30" spans="1:6" ht="14.25">
      <c r="A30" s="39"/>
      <c r="B30" s="38"/>
      <c r="C30" s="38"/>
      <c r="D30" s="38"/>
      <c r="E30" s="38"/>
      <c r="F30" s="39"/>
    </row>
    <row r="31" spans="1:6" ht="14.25">
      <c r="A31" s="46" t="s">
        <v>16</v>
      </c>
      <c r="B31" s="38"/>
      <c r="C31" s="38"/>
      <c r="D31" s="38"/>
      <c r="E31" s="38"/>
      <c r="F31" s="39"/>
    </row>
    <row r="32" spans="1:6" ht="14.25">
      <c r="A32" s="39"/>
      <c r="B32" s="39"/>
      <c r="C32" s="38"/>
      <c r="D32" s="38"/>
      <c r="E32" s="38"/>
      <c r="F32" s="39"/>
    </row>
    <row r="33" spans="1:6" ht="14.25">
      <c r="A33" s="46" t="s">
        <v>17</v>
      </c>
      <c r="B33" s="38"/>
      <c r="C33" s="38"/>
      <c r="D33" s="38"/>
      <c r="E33" s="38"/>
      <c r="F33" s="39"/>
    </row>
    <row r="34" spans="1:6" ht="14.25">
      <c r="A34" s="39" t="s">
        <v>127</v>
      </c>
      <c r="B34" s="38"/>
      <c r="C34" s="38"/>
      <c r="D34" s="38">
        <v>116002.05</v>
      </c>
      <c r="E34" s="38"/>
      <c r="F34" s="39"/>
    </row>
    <row r="35" spans="1:6" ht="14.25">
      <c r="A35" s="39" t="s">
        <v>126</v>
      </c>
      <c r="B35" s="38"/>
      <c r="C35" s="38"/>
      <c r="D35" s="38">
        <v>102524.05</v>
      </c>
      <c r="E35" s="38"/>
      <c r="F35" s="39"/>
    </row>
    <row r="36" spans="1:6" ht="14.25">
      <c r="A36" s="39" t="s">
        <v>162</v>
      </c>
      <c r="B36" s="38"/>
      <c r="C36" s="38"/>
      <c r="D36" s="38">
        <v>125319.92</v>
      </c>
      <c r="E36" s="38"/>
      <c r="F36" s="39"/>
    </row>
    <row r="37" spans="1:6" ht="14.25">
      <c r="A37" s="39"/>
      <c r="B37" s="38"/>
      <c r="C37" s="38"/>
      <c r="D37" s="38"/>
      <c r="E37" s="38"/>
      <c r="F37" s="39"/>
    </row>
    <row r="38" spans="1:6" ht="15" thickBot="1">
      <c r="A38" s="40" t="s">
        <v>19</v>
      </c>
      <c r="B38" s="42"/>
      <c r="C38" s="42"/>
      <c r="D38" s="43">
        <f>+D34+D35+D36</f>
        <v>343846.02</v>
      </c>
      <c r="E38" s="107"/>
      <c r="F38" s="39"/>
    </row>
    <row r="39" spans="1:6" ht="14.25">
      <c r="A39" s="39"/>
      <c r="B39" s="38"/>
      <c r="C39" s="38"/>
      <c r="D39" s="38"/>
      <c r="E39" s="38"/>
      <c r="F39" s="39"/>
    </row>
    <row r="40" spans="1:6" ht="14.25">
      <c r="A40" s="46" t="s">
        <v>20</v>
      </c>
      <c r="B40" s="38"/>
      <c r="C40" s="38"/>
      <c r="D40" s="38"/>
      <c r="E40" s="38"/>
      <c r="F40" s="39"/>
    </row>
    <row r="41" spans="1:6" ht="14.25">
      <c r="A41" s="39"/>
      <c r="B41" s="38"/>
      <c r="C41" s="38"/>
      <c r="D41" s="38"/>
      <c r="E41" s="38"/>
      <c r="F41" s="39"/>
    </row>
    <row r="42" spans="1:6" ht="14.25">
      <c r="A42" s="39" t="s">
        <v>22</v>
      </c>
      <c r="B42" s="38"/>
      <c r="C42" s="38"/>
      <c r="D42" s="38"/>
      <c r="E42" s="38"/>
      <c r="F42" s="39"/>
    </row>
    <row r="43" spans="1:6" ht="14.25">
      <c r="A43" s="39" t="s">
        <v>23</v>
      </c>
      <c r="B43" s="38">
        <v>90726.29</v>
      </c>
      <c r="C43" s="38"/>
      <c r="D43" s="38"/>
      <c r="E43" s="38"/>
      <c r="F43" s="39"/>
    </row>
    <row r="44" spans="1:6" ht="14.25">
      <c r="A44" s="39" t="s">
        <v>128</v>
      </c>
      <c r="B44" s="38">
        <v>0</v>
      </c>
      <c r="C44" s="38"/>
      <c r="D44" s="38"/>
      <c r="E44" s="38"/>
      <c r="F44" s="39"/>
    </row>
    <row r="45" spans="1:6" ht="14.25">
      <c r="A45" s="39" t="s">
        <v>248</v>
      </c>
      <c r="B45" s="41">
        <f>+D28</f>
        <v>-1880.269999999993</v>
      </c>
      <c r="C45" s="47"/>
      <c r="D45" s="47">
        <f>SUM(B43:B45)</f>
        <v>88846.02</v>
      </c>
      <c r="E45" s="47"/>
      <c r="F45" s="39"/>
    </row>
    <row r="46" spans="1:6" ht="14.25">
      <c r="A46" s="39"/>
      <c r="B46" s="47"/>
      <c r="C46" s="47"/>
      <c r="D46" s="47"/>
      <c r="E46" s="47"/>
      <c r="F46" s="39"/>
    </row>
    <row r="47" spans="1:6" ht="14.25">
      <c r="A47" s="39" t="s">
        <v>193</v>
      </c>
      <c r="B47" s="47"/>
      <c r="C47" s="47"/>
      <c r="D47" s="41">
        <f>+'[1]Regnskab2015_16'!D45+35000</f>
        <v>255000</v>
      </c>
      <c r="E47" s="47"/>
      <c r="F47" s="39"/>
    </row>
    <row r="48" spans="1:6" ht="14.25">
      <c r="A48" s="39"/>
      <c r="B48" s="47"/>
      <c r="C48" s="38"/>
      <c r="D48" s="38"/>
      <c r="E48" s="38"/>
      <c r="F48" s="39"/>
    </row>
    <row r="49" spans="1:6" ht="15" thickBot="1">
      <c r="A49" s="40" t="s">
        <v>24</v>
      </c>
      <c r="B49" s="42"/>
      <c r="C49" s="42"/>
      <c r="D49" s="43">
        <f>SUM(D41:D47)</f>
        <v>343846.02</v>
      </c>
      <c r="E49" s="107"/>
      <c r="F49" s="39"/>
    </row>
    <row r="50" spans="1:6" ht="14.25">
      <c r="A50" s="39"/>
      <c r="B50" s="38"/>
      <c r="C50" s="38"/>
      <c r="D50" s="38"/>
      <c r="E50" s="38"/>
      <c r="F50" s="39"/>
    </row>
    <row r="51" spans="1:6" ht="14.25">
      <c r="A51" s="39"/>
      <c r="B51" s="38"/>
      <c r="C51" s="38"/>
      <c r="D51" s="38"/>
      <c r="E51" s="38"/>
      <c r="F51" s="39"/>
    </row>
    <row r="52" spans="1:6" ht="14.25">
      <c r="A52" s="39"/>
      <c r="B52" s="38"/>
      <c r="C52" s="38"/>
      <c r="D52" s="38"/>
      <c r="E52" s="38"/>
      <c r="F52" s="39"/>
    </row>
    <row r="53" spans="1:6" ht="14.25">
      <c r="A53" s="39"/>
      <c r="B53" s="38"/>
      <c r="C53" s="38"/>
      <c r="D53" s="38"/>
      <c r="E53" s="38"/>
      <c r="F53" s="39"/>
    </row>
    <row r="54" spans="1:6" ht="14.25">
      <c r="A54" s="39"/>
      <c r="B54" s="38"/>
      <c r="C54" s="38"/>
      <c r="D54" s="38"/>
      <c r="E54" s="38"/>
      <c r="F54" s="39"/>
    </row>
    <row r="55" spans="1:6" ht="14.25">
      <c r="A55" s="39" t="s">
        <v>164</v>
      </c>
      <c r="B55" s="38"/>
      <c r="C55" s="39" t="s">
        <v>165</v>
      </c>
      <c r="D55" s="38"/>
      <c r="E55" s="38"/>
      <c r="F55" s="39"/>
    </row>
    <row r="56" spans="1:6" ht="14.25">
      <c r="A56" s="39"/>
      <c r="B56" s="38"/>
      <c r="C56" s="39"/>
      <c r="D56" s="38"/>
      <c r="E56" s="38"/>
      <c r="F56" s="39"/>
    </row>
    <row r="57" spans="1:6" ht="14.25">
      <c r="A57" s="48"/>
      <c r="B57" s="38"/>
      <c r="C57" s="48"/>
      <c r="D57" s="41"/>
      <c r="E57" s="41"/>
      <c r="F57" s="39"/>
    </row>
    <row r="58" spans="1:6" ht="14.25">
      <c r="A58" s="39" t="s">
        <v>249</v>
      </c>
      <c r="B58" s="38"/>
      <c r="C58" s="39" t="s">
        <v>27</v>
      </c>
      <c r="D58" s="38"/>
      <c r="E58" s="38"/>
      <c r="F58" s="39"/>
    </row>
    <row r="59" spans="1:6" ht="14.25">
      <c r="A59" s="39"/>
      <c r="B59" s="38"/>
      <c r="C59" s="39"/>
      <c r="D59" s="38"/>
      <c r="E59" s="38"/>
      <c r="F59" s="39"/>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53"/>
  <sheetViews>
    <sheetView zoomScalePageLayoutView="0" workbookViewId="0" topLeftCell="A1">
      <selection activeCell="D11" sqref="D11"/>
    </sheetView>
  </sheetViews>
  <sheetFormatPr defaultColWidth="9.28125" defaultRowHeight="15"/>
  <cols>
    <col min="1" max="1" width="40.00390625" style="31" customWidth="1"/>
    <col min="2" max="4" width="21.28125" style="31" customWidth="1"/>
    <col min="5" max="5" width="21.28125" style="30" customWidth="1"/>
    <col min="6" max="7" width="21.28125" style="31" customWidth="1"/>
    <col min="8" max="16384" width="9.28125" style="31" customWidth="1"/>
  </cols>
  <sheetData>
    <row r="1" spans="1:7" ht="12.75">
      <c r="A1" s="52" t="s">
        <v>0</v>
      </c>
      <c r="B1" s="240" t="s">
        <v>171</v>
      </c>
      <c r="C1" s="241"/>
      <c r="D1" s="242" t="s">
        <v>170</v>
      </c>
      <c r="E1" s="238"/>
      <c r="F1" s="238"/>
      <c r="G1" s="239"/>
    </row>
    <row r="2" spans="1:7" ht="16.5" customHeight="1">
      <c r="A2" s="61"/>
      <c r="B2" s="62" t="s">
        <v>167</v>
      </c>
      <c r="C2" s="63" t="s">
        <v>113</v>
      </c>
      <c r="D2" s="62" t="s">
        <v>160</v>
      </c>
      <c r="E2" s="64" t="s">
        <v>115</v>
      </c>
      <c r="F2" s="64" t="s">
        <v>85</v>
      </c>
      <c r="G2" s="63" t="s">
        <v>86</v>
      </c>
    </row>
    <row r="3" spans="1:7" ht="16.5" customHeight="1">
      <c r="A3" s="32"/>
      <c r="B3" s="65"/>
      <c r="C3" s="66"/>
      <c r="D3" s="67"/>
      <c r="E3" s="67"/>
      <c r="F3" s="67"/>
      <c r="G3" s="68"/>
    </row>
    <row r="4" spans="1:7" ht="16.5" customHeight="1">
      <c r="A4" s="32" t="s">
        <v>2</v>
      </c>
      <c r="B4" s="69">
        <f>SUM(B5:B7)</f>
        <v>72100</v>
      </c>
      <c r="C4" s="70">
        <v>92000</v>
      </c>
      <c r="D4" s="71">
        <f>SUM(D5:D7)</f>
        <v>95079.76000000001</v>
      </c>
      <c r="E4" s="71">
        <v>94352.57</v>
      </c>
      <c r="F4" s="71">
        <v>103121.14</v>
      </c>
      <c r="G4" s="70">
        <v>92520.88</v>
      </c>
    </row>
    <row r="5" spans="1:7" ht="16.5" customHeight="1">
      <c r="A5" s="37" t="s">
        <v>116</v>
      </c>
      <c r="B5" s="72">
        <f>46*B37</f>
        <v>69000</v>
      </c>
      <c r="C5" s="73">
        <v>92000</v>
      </c>
      <c r="D5" s="74">
        <f>46*2000</f>
        <v>92000</v>
      </c>
      <c r="E5" s="74">
        <v>93800</v>
      </c>
      <c r="F5" s="74">
        <v>103000</v>
      </c>
      <c r="G5" s="73">
        <v>92400</v>
      </c>
    </row>
    <row r="6" spans="1:7" ht="16.5" customHeight="1">
      <c r="A6" s="33" t="s">
        <v>117</v>
      </c>
      <c r="B6" s="75">
        <v>100</v>
      </c>
      <c r="C6" s="68"/>
      <c r="D6" s="67">
        <v>75.38</v>
      </c>
      <c r="E6" s="67">
        <v>175.43</v>
      </c>
      <c r="F6" s="67">
        <v>121.14</v>
      </c>
      <c r="G6" s="68">
        <v>120.88</v>
      </c>
    </row>
    <row r="7" spans="1:7" ht="16.5" customHeight="1">
      <c r="A7" s="37" t="s">
        <v>118</v>
      </c>
      <c r="B7" s="76">
        <v>3000</v>
      </c>
      <c r="C7" s="77"/>
      <c r="D7" s="78">
        <v>3004.38</v>
      </c>
      <c r="E7" s="78">
        <v>377.14</v>
      </c>
      <c r="F7" s="78"/>
      <c r="G7" s="77"/>
    </row>
    <row r="8" spans="1:7" ht="16.5" customHeight="1">
      <c r="A8" s="35"/>
      <c r="B8" s="75"/>
      <c r="C8" s="68"/>
      <c r="D8" s="102"/>
      <c r="E8" s="83"/>
      <c r="F8" s="83"/>
      <c r="G8" s="82"/>
    </row>
    <row r="9" spans="1:7" ht="16.5" customHeight="1">
      <c r="A9" s="32" t="s">
        <v>5</v>
      </c>
      <c r="B9" s="69">
        <f>SUM(B10:B24)</f>
        <v>53500</v>
      </c>
      <c r="C9" s="70">
        <v>77400</v>
      </c>
      <c r="D9" s="69">
        <f>SUM(D10:D24)</f>
        <v>56135.64</v>
      </c>
      <c r="E9" s="71">
        <v>62033.87</v>
      </c>
      <c r="F9" s="71">
        <v>82323.1</v>
      </c>
      <c r="G9" s="70">
        <v>29762.97</v>
      </c>
    </row>
    <row r="10" spans="1:7" ht="16.5" customHeight="1">
      <c r="A10" s="37" t="s">
        <v>31</v>
      </c>
      <c r="B10" s="72">
        <v>200</v>
      </c>
      <c r="C10" s="73">
        <v>200</v>
      </c>
      <c r="D10" s="72">
        <v>198.75</v>
      </c>
      <c r="E10" s="74">
        <v>198.75</v>
      </c>
      <c r="F10" s="74">
        <v>198.75</v>
      </c>
      <c r="G10" s="73">
        <v>198.75</v>
      </c>
    </row>
    <row r="11" spans="1:7" ht="16.5" customHeight="1">
      <c r="A11" s="33" t="s">
        <v>169</v>
      </c>
      <c r="B11" s="79"/>
      <c r="C11" s="68">
        <v>14500</v>
      </c>
      <c r="D11" s="79">
        <v>9013.37</v>
      </c>
      <c r="E11" s="67">
        <v>14667.21</v>
      </c>
      <c r="F11" s="67">
        <v>16268.27</v>
      </c>
      <c r="G11" s="68">
        <v>16394.74</v>
      </c>
    </row>
    <row r="12" spans="1:7" ht="16.5" customHeight="1">
      <c r="A12" s="37" t="s">
        <v>135</v>
      </c>
      <c r="B12" s="72"/>
      <c r="C12" s="73">
        <v>1500</v>
      </c>
      <c r="D12" s="72">
        <v>1305.75</v>
      </c>
      <c r="E12" s="74">
        <v>1341.64</v>
      </c>
      <c r="F12" s="74">
        <v>1083.44</v>
      </c>
      <c r="G12" s="73"/>
    </row>
    <row r="13" spans="1:7" ht="16.5" customHeight="1">
      <c r="A13" s="33" t="s">
        <v>112</v>
      </c>
      <c r="B13" s="79"/>
      <c r="C13" s="68">
        <v>9000</v>
      </c>
      <c r="D13" s="79">
        <v>7477.13</v>
      </c>
      <c r="E13" s="67">
        <v>8885.27</v>
      </c>
      <c r="F13" s="67"/>
      <c r="G13" s="68"/>
    </row>
    <row r="14" spans="1:7" ht="16.5" customHeight="1">
      <c r="A14" s="37" t="s">
        <v>36</v>
      </c>
      <c r="B14" s="72"/>
      <c r="C14" s="73">
        <v>1000</v>
      </c>
      <c r="D14" s="72"/>
      <c r="E14" s="74"/>
      <c r="F14" s="74"/>
      <c r="G14" s="80"/>
    </row>
    <row r="15" spans="1:7" ht="16.5" customHeight="1">
      <c r="A15" s="33" t="s">
        <v>55</v>
      </c>
      <c r="B15" s="79">
        <v>7300</v>
      </c>
      <c r="C15" s="68">
        <v>7200</v>
      </c>
      <c r="D15" s="79">
        <v>7232</v>
      </c>
      <c r="E15" s="67">
        <v>7048</v>
      </c>
      <c r="F15" s="67">
        <v>5450</v>
      </c>
      <c r="G15" s="68"/>
    </row>
    <row r="16" spans="1:7" ht="16.5" customHeight="1">
      <c r="A16" s="37" t="s">
        <v>8</v>
      </c>
      <c r="B16" s="72">
        <v>20000</v>
      </c>
      <c r="C16" s="73">
        <v>20000</v>
      </c>
      <c r="D16" s="72">
        <v>6535.94</v>
      </c>
      <c r="E16" s="74">
        <v>2710.5</v>
      </c>
      <c r="F16" s="74">
        <v>36165.64</v>
      </c>
      <c r="G16" s="73">
        <v>8185.48</v>
      </c>
    </row>
    <row r="17" spans="1:7" ht="16.5" customHeight="1">
      <c r="A17" s="33" t="s">
        <v>131</v>
      </c>
      <c r="B17" s="79">
        <v>15000</v>
      </c>
      <c r="C17" s="68">
        <v>18000</v>
      </c>
      <c r="D17" s="79">
        <v>13781.25</v>
      </c>
      <c r="E17" s="67">
        <v>17718.75</v>
      </c>
      <c r="F17" s="67">
        <v>14875</v>
      </c>
      <c r="G17" s="68"/>
    </row>
    <row r="18" spans="1:7" ht="16.5" customHeight="1">
      <c r="A18" s="37" t="s">
        <v>132</v>
      </c>
      <c r="B18" s="72">
        <v>3500</v>
      </c>
      <c r="C18" s="73"/>
      <c r="D18" s="72">
        <v>3500</v>
      </c>
      <c r="E18" s="74">
        <v>3500</v>
      </c>
      <c r="F18" s="74"/>
      <c r="G18" s="73"/>
    </row>
    <row r="19" spans="1:7" ht="16.5" customHeight="1">
      <c r="A19" s="33" t="s">
        <v>9</v>
      </c>
      <c r="B19" s="79">
        <v>1000</v>
      </c>
      <c r="C19" s="68">
        <v>1000</v>
      </c>
      <c r="D19" s="79">
        <v>440</v>
      </c>
      <c r="E19" s="67">
        <v>845</v>
      </c>
      <c r="F19" s="67">
        <v>2450</v>
      </c>
      <c r="G19" s="68">
        <v>1700</v>
      </c>
    </row>
    <row r="20" spans="1:7" ht="16.5" customHeight="1">
      <c r="A20" s="37" t="s">
        <v>133</v>
      </c>
      <c r="B20" s="72">
        <v>5000</v>
      </c>
      <c r="C20" s="73">
        <v>5000</v>
      </c>
      <c r="D20" s="72">
        <v>5651.45</v>
      </c>
      <c r="E20" s="74">
        <v>3000</v>
      </c>
      <c r="F20" s="74">
        <v>5050</v>
      </c>
      <c r="G20" s="80">
        <v>2500</v>
      </c>
    </row>
    <row r="21" spans="1:7" ht="16.5" customHeight="1">
      <c r="A21" s="33" t="s">
        <v>50</v>
      </c>
      <c r="B21" s="79">
        <v>500</v>
      </c>
      <c r="C21" s="68"/>
      <c r="D21" s="79">
        <v>0</v>
      </c>
      <c r="E21" s="67">
        <v>0</v>
      </c>
      <c r="F21" s="67">
        <v>629</v>
      </c>
      <c r="G21" s="68"/>
    </row>
    <row r="22" spans="1:7" ht="16.5" customHeight="1">
      <c r="A22" s="37" t="s">
        <v>11</v>
      </c>
      <c r="B22" s="72">
        <v>1000</v>
      </c>
      <c r="C22" s="73"/>
      <c r="D22" s="72">
        <v>1000</v>
      </c>
      <c r="E22" s="74">
        <v>25</v>
      </c>
      <c r="F22" s="74">
        <v>153</v>
      </c>
      <c r="G22" s="73">
        <v>116</v>
      </c>
    </row>
    <row r="23" spans="1:7" ht="16.5" customHeight="1">
      <c r="A23" s="33" t="s">
        <v>123</v>
      </c>
      <c r="B23" s="79"/>
      <c r="C23" s="68"/>
      <c r="D23" s="79"/>
      <c r="E23" s="67">
        <v>2093.75</v>
      </c>
      <c r="F23" s="67"/>
      <c r="G23" s="68"/>
    </row>
    <row r="24" spans="1:7" ht="16.5" customHeight="1">
      <c r="A24" s="37" t="s">
        <v>12</v>
      </c>
      <c r="B24" s="72"/>
      <c r="C24" s="73"/>
      <c r="D24" s="103">
        <v>0</v>
      </c>
      <c r="E24" s="78">
        <v>0</v>
      </c>
      <c r="F24" s="78">
        <v>0</v>
      </c>
      <c r="G24" s="104">
        <v>668</v>
      </c>
    </row>
    <row r="25" spans="1:7" ht="16.5" customHeight="1">
      <c r="A25" s="35"/>
      <c r="B25" s="81"/>
      <c r="C25" s="82"/>
      <c r="D25" s="83"/>
      <c r="E25" s="83"/>
      <c r="F25" s="83"/>
      <c r="G25" s="82"/>
    </row>
    <row r="26" spans="1:7" ht="16.5" customHeight="1">
      <c r="A26" s="36" t="s">
        <v>13</v>
      </c>
      <c r="B26" s="84">
        <f>+B4-B9</f>
        <v>18600</v>
      </c>
      <c r="C26" s="85">
        <v>14600</v>
      </c>
      <c r="D26" s="86">
        <f>+D4-D9</f>
        <v>38944.12000000001</v>
      </c>
      <c r="E26" s="86">
        <v>32318.7</v>
      </c>
      <c r="F26" s="86">
        <v>20798.04</v>
      </c>
      <c r="G26" s="85">
        <v>62757.91</v>
      </c>
    </row>
    <row r="27" spans="1:7" ht="16.5" customHeight="1">
      <c r="A27" s="35"/>
      <c r="B27" s="81"/>
      <c r="C27" s="82"/>
      <c r="D27" s="83"/>
      <c r="E27" s="83"/>
      <c r="F27" s="83"/>
      <c r="G27" s="82"/>
    </row>
    <row r="28" spans="1:7" ht="16.5" customHeight="1">
      <c r="A28" s="32" t="s">
        <v>119</v>
      </c>
      <c r="B28" s="69">
        <f>SUM(B29:B30)</f>
        <v>15000</v>
      </c>
      <c r="C28" s="70">
        <v>40000</v>
      </c>
      <c r="D28" s="71">
        <f>SUM(D29:D30)</f>
        <v>60000</v>
      </c>
      <c r="E28" s="71">
        <v>40000</v>
      </c>
      <c r="F28" s="71">
        <v>35000</v>
      </c>
      <c r="G28" s="70">
        <v>20000</v>
      </c>
    </row>
    <row r="29" spans="1:7" ht="16.5" customHeight="1">
      <c r="A29" s="37" t="s">
        <v>53</v>
      </c>
      <c r="B29" s="87">
        <f>15000-B30</f>
        <v>80000</v>
      </c>
      <c r="C29" s="80">
        <v>25000</v>
      </c>
      <c r="D29" s="88">
        <v>45000</v>
      </c>
      <c r="E29" s="88">
        <v>25000</v>
      </c>
      <c r="F29" s="88">
        <v>20000</v>
      </c>
      <c r="G29" s="80"/>
    </row>
    <row r="30" spans="1:7" ht="16.5" customHeight="1">
      <c r="A30" s="33" t="s">
        <v>52</v>
      </c>
      <c r="B30" s="75">
        <f>-SUM(D30:G30)</f>
        <v>-65000</v>
      </c>
      <c r="C30" s="89">
        <v>15000</v>
      </c>
      <c r="D30" s="90">
        <v>15000</v>
      </c>
      <c r="E30" s="90">
        <v>15000</v>
      </c>
      <c r="F30" s="90">
        <v>15000</v>
      </c>
      <c r="G30" s="89">
        <v>20000</v>
      </c>
    </row>
    <row r="31" spans="1:7" ht="16.5" customHeight="1">
      <c r="A31" s="98"/>
      <c r="B31" s="81"/>
      <c r="C31" s="91"/>
      <c r="D31" s="83"/>
      <c r="E31" s="83"/>
      <c r="F31" s="83"/>
      <c r="G31" s="82"/>
    </row>
    <row r="32" spans="1:7" ht="16.5" customHeight="1">
      <c r="A32" s="97" t="s">
        <v>122</v>
      </c>
      <c r="B32" s="69">
        <f>+D32+B26</f>
        <v>252691.77000000002</v>
      </c>
      <c r="C32" s="70">
        <f>+E32+C26</f>
        <v>209747.65</v>
      </c>
      <c r="D32" s="71">
        <f>+D26+E32</f>
        <v>234091.77000000002</v>
      </c>
      <c r="E32" s="71">
        <v>195147.65</v>
      </c>
      <c r="F32" s="71">
        <v>162828.95</v>
      </c>
      <c r="G32" s="70">
        <v>142030.91</v>
      </c>
    </row>
    <row r="33" spans="1:7" ht="16.5" customHeight="1">
      <c r="A33" s="99" t="s">
        <v>120</v>
      </c>
      <c r="B33" s="72">
        <f>+B32-B34-B35</f>
        <v>76310.25</v>
      </c>
      <c r="C33" s="73">
        <f>+C32-C34-C35</f>
        <v>51366.12999999999</v>
      </c>
      <c r="D33" s="74">
        <f>+D32-D35-D34</f>
        <v>75710.25000000001</v>
      </c>
      <c r="E33" s="74">
        <v>99770.51</v>
      </c>
      <c r="F33" s="74">
        <v>162828.95</v>
      </c>
      <c r="G33" s="73">
        <v>142030.91</v>
      </c>
    </row>
    <row r="34" spans="1:7" ht="16.5" customHeight="1">
      <c r="A34" s="99" t="s">
        <v>121</v>
      </c>
      <c r="B34" s="72">
        <f>+C34+B7</f>
        <v>101381.52</v>
      </c>
      <c r="C34" s="73">
        <f>+D34</f>
        <v>98381.52</v>
      </c>
      <c r="D34" s="74">
        <v>98381.52</v>
      </c>
      <c r="E34" s="74">
        <v>95377.14</v>
      </c>
      <c r="F34" s="74"/>
      <c r="G34" s="73"/>
    </row>
    <row r="35" spans="1:7" ht="16.5" customHeight="1">
      <c r="A35" s="100" t="s">
        <v>166</v>
      </c>
      <c r="B35" s="92">
        <f>+C35+B28</f>
        <v>75000</v>
      </c>
      <c r="C35" s="93">
        <f>+D35</f>
        <v>60000</v>
      </c>
      <c r="D35" s="94">
        <f>60000</f>
        <v>60000</v>
      </c>
      <c r="E35" s="94"/>
      <c r="F35" s="94"/>
      <c r="G35" s="93"/>
    </row>
    <row r="36" spans="1:7" ht="16.5" customHeight="1">
      <c r="A36" s="35"/>
      <c r="B36" s="81"/>
      <c r="C36" s="91"/>
      <c r="D36" s="83"/>
      <c r="E36" s="83"/>
      <c r="F36" s="83"/>
      <c r="G36" s="82"/>
    </row>
    <row r="37" spans="1:7" ht="16.5" customHeight="1">
      <c r="A37" s="32" t="s">
        <v>134</v>
      </c>
      <c r="B37" s="69">
        <v>1500</v>
      </c>
      <c r="C37" s="70">
        <v>2000</v>
      </c>
      <c r="D37" s="71">
        <v>2000</v>
      </c>
      <c r="E37" s="71">
        <v>2000</v>
      </c>
      <c r="F37" s="71">
        <v>2000</v>
      </c>
      <c r="G37" s="70">
        <v>1800</v>
      </c>
    </row>
    <row r="38" spans="1:7" ht="16.5" customHeight="1">
      <c r="A38" s="34"/>
      <c r="B38" s="95"/>
      <c r="C38" s="93"/>
      <c r="D38" s="94"/>
      <c r="E38" s="94"/>
      <c r="F38" s="94"/>
      <c r="G38" s="93"/>
    </row>
    <row r="39" ht="19.5" customHeight="1">
      <c r="A39" s="31" t="s">
        <v>151</v>
      </c>
    </row>
    <row r="40" spans="1:7" ht="20.25" customHeight="1">
      <c r="A40" s="236" t="s">
        <v>172</v>
      </c>
      <c r="B40" s="236"/>
      <c r="C40" s="236"/>
      <c r="D40" s="236"/>
      <c r="E40" s="236"/>
      <c r="F40" s="236"/>
      <c r="G40" s="236"/>
    </row>
    <row r="41" ht="22.5" customHeight="1"/>
    <row r="47" spans="1:3" ht="12.75">
      <c r="A47" s="31" t="s">
        <v>174</v>
      </c>
      <c r="B47" s="31" t="s">
        <v>173</v>
      </c>
      <c r="C47" s="105">
        <f>+D28+E28+F28+G28+B28</f>
        <v>170000</v>
      </c>
    </row>
    <row r="49" ht="12.75">
      <c r="A49" s="31" t="s">
        <v>175</v>
      </c>
    </row>
    <row r="51" ht="12.75">
      <c r="C51" s="101">
        <f>+C47-C34-C35</f>
        <v>11618.479999999996</v>
      </c>
    </row>
    <row r="52" spans="2:4" ht="12.75">
      <c r="B52" s="31" t="s">
        <v>176</v>
      </c>
      <c r="C52" s="101">
        <f>-B7</f>
        <v>-3000</v>
      </c>
      <c r="D52" s="31" t="s">
        <v>177</v>
      </c>
    </row>
    <row r="53" ht="13.5" thickBot="1">
      <c r="C53" s="106">
        <f>+C51+C52</f>
        <v>8618.479999999996</v>
      </c>
    </row>
    <row r="54" ht="13.5" thickTop="1"/>
  </sheetData>
  <sheetProtection/>
  <mergeCells count="3">
    <mergeCell ref="A40:G40"/>
    <mergeCell ref="B1:C1"/>
    <mergeCell ref="D1:G1"/>
  </mergeCells>
  <printOptions/>
  <pageMargins left="0.7" right="0.7" top="0.75" bottom="0.75" header="0.3" footer="0.3"/>
  <pageSetup fitToHeight="1"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selection activeCell="D7" sqref="D7"/>
    </sheetView>
  </sheetViews>
  <sheetFormatPr defaultColWidth="9.28125" defaultRowHeight="15"/>
  <cols>
    <col min="1" max="1" width="40.00390625" style="31" customWidth="1"/>
    <col min="2" max="4" width="21.28125" style="31" customWidth="1"/>
    <col min="5" max="5" width="21.28125" style="30" customWidth="1"/>
    <col min="6" max="7" width="21.28125" style="31" customWidth="1"/>
    <col min="8" max="8" width="9.28125" style="31" customWidth="1"/>
    <col min="9" max="9" width="10.28125" style="31" bestFit="1" customWidth="1"/>
    <col min="10" max="16384" width="9.28125" style="31" customWidth="1"/>
  </cols>
  <sheetData>
    <row r="1" spans="1:7" ht="12.75">
      <c r="A1" s="52" t="s">
        <v>0</v>
      </c>
      <c r="B1" s="240" t="s">
        <v>155</v>
      </c>
      <c r="C1" s="241"/>
      <c r="D1" s="243" t="s">
        <v>125</v>
      </c>
      <c r="E1" s="243"/>
      <c r="F1" s="243"/>
      <c r="G1" s="241"/>
    </row>
    <row r="2" spans="1:7" ht="16.5" customHeight="1">
      <c r="A2" s="61"/>
      <c r="B2" s="62" t="s">
        <v>113</v>
      </c>
      <c r="C2" s="63" t="s">
        <v>83</v>
      </c>
      <c r="D2" s="62" t="s">
        <v>115</v>
      </c>
      <c r="E2" s="64" t="s">
        <v>85</v>
      </c>
      <c r="F2" s="64" t="s">
        <v>86</v>
      </c>
      <c r="G2" s="63" t="s">
        <v>87</v>
      </c>
    </row>
    <row r="3" spans="1:7" ht="16.5" customHeight="1">
      <c r="A3" s="32"/>
      <c r="B3" s="65"/>
      <c r="C3" s="66"/>
      <c r="D3" s="67"/>
      <c r="E3" s="67"/>
      <c r="F3" s="67"/>
      <c r="G3" s="68"/>
    </row>
    <row r="4" spans="1:7" ht="16.5" customHeight="1">
      <c r="A4" s="32" t="s">
        <v>2</v>
      </c>
      <c r="B4" s="69">
        <f aca="true" t="shared" si="0" ref="B4:G4">SUM(B5:B7)</f>
        <v>92000</v>
      </c>
      <c r="C4" s="70">
        <f t="shared" si="0"/>
        <v>92000</v>
      </c>
      <c r="D4" s="71">
        <f>SUM(D5:D7)</f>
        <v>94352.56999999999</v>
      </c>
      <c r="E4" s="71">
        <f t="shared" si="0"/>
        <v>103121.14</v>
      </c>
      <c r="F4" s="71">
        <f t="shared" si="0"/>
        <v>92520.88</v>
      </c>
      <c r="G4" s="70">
        <f t="shared" si="0"/>
        <v>106408.33</v>
      </c>
    </row>
    <row r="5" spans="1:7" ht="16.5" customHeight="1">
      <c r="A5" s="37" t="s">
        <v>116</v>
      </c>
      <c r="B5" s="72">
        <f>46*B36</f>
        <v>92000</v>
      </c>
      <c r="C5" s="73">
        <f>46*2000</f>
        <v>92000</v>
      </c>
      <c r="D5" s="74">
        <v>93800</v>
      </c>
      <c r="E5" s="74">
        <v>103000</v>
      </c>
      <c r="F5" s="74">
        <v>92400</v>
      </c>
      <c r="G5" s="73">
        <v>106400</v>
      </c>
    </row>
    <row r="6" spans="1:7" ht="16.5" customHeight="1">
      <c r="A6" s="33" t="s">
        <v>117</v>
      </c>
      <c r="B6" s="75"/>
      <c r="C6" s="68"/>
      <c r="D6" s="67">
        <v>175.43</v>
      </c>
      <c r="E6" s="67">
        <v>121.14</v>
      </c>
      <c r="F6" s="67">
        <v>120.88</v>
      </c>
      <c r="G6" s="68">
        <v>8.33</v>
      </c>
    </row>
    <row r="7" spans="1:7" ht="16.5" customHeight="1">
      <c r="A7" s="37" t="s">
        <v>118</v>
      </c>
      <c r="B7" s="76"/>
      <c r="C7" s="77"/>
      <c r="D7" s="78">
        <v>377.14</v>
      </c>
      <c r="E7" s="78"/>
      <c r="F7" s="78"/>
      <c r="G7" s="77"/>
    </row>
    <row r="8" spans="1:7" ht="16.5" customHeight="1">
      <c r="A8" s="35"/>
      <c r="B8" s="75"/>
      <c r="C8" s="68"/>
      <c r="D8" s="67"/>
      <c r="E8" s="67"/>
      <c r="F8" s="67"/>
      <c r="G8" s="68"/>
    </row>
    <row r="9" spans="1:7" ht="16.5" customHeight="1">
      <c r="A9" s="32" t="s">
        <v>5</v>
      </c>
      <c r="B9" s="69">
        <f aca="true" t="shared" si="1" ref="B9:G9">SUM(B10:B24)</f>
        <v>77400</v>
      </c>
      <c r="C9" s="70">
        <f t="shared" si="1"/>
        <v>77000</v>
      </c>
      <c r="D9" s="71">
        <f t="shared" si="1"/>
        <v>62033.87</v>
      </c>
      <c r="E9" s="71">
        <f t="shared" si="1"/>
        <v>82323.09999999999</v>
      </c>
      <c r="F9" s="71">
        <f t="shared" si="1"/>
        <v>29762.97</v>
      </c>
      <c r="G9" s="70">
        <f t="shared" si="1"/>
        <v>27135.329999999998</v>
      </c>
    </row>
    <row r="10" spans="1:7" ht="16.5" customHeight="1">
      <c r="A10" s="37" t="s">
        <v>31</v>
      </c>
      <c r="B10" s="72">
        <v>200</v>
      </c>
      <c r="C10" s="73">
        <v>200</v>
      </c>
      <c r="D10" s="74">
        <v>198.75</v>
      </c>
      <c r="E10" s="74">
        <v>198.75</v>
      </c>
      <c r="F10" s="74">
        <v>198.75</v>
      </c>
      <c r="G10" s="73">
        <v>322.5</v>
      </c>
    </row>
    <row r="11" spans="1:7" ht="16.5" customHeight="1">
      <c r="A11" s="33" t="s">
        <v>7</v>
      </c>
      <c r="B11" s="79">
        <f>16000-B12</f>
        <v>14500</v>
      </c>
      <c r="C11" s="68">
        <v>14000</v>
      </c>
      <c r="D11" s="67">
        <f>16008.85-D12</f>
        <v>14667.210000000001</v>
      </c>
      <c r="E11" s="67">
        <f>17351.71-E12</f>
        <v>16268.269999999999</v>
      </c>
      <c r="F11" s="67">
        <v>16394.74</v>
      </c>
      <c r="G11" s="68">
        <v>16488.78</v>
      </c>
    </row>
    <row r="12" spans="1:7" ht="16.5" customHeight="1">
      <c r="A12" s="37" t="s">
        <v>135</v>
      </c>
      <c r="B12" s="72">
        <v>1500</v>
      </c>
      <c r="C12" s="73"/>
      <c r="D12" s="74">
        <v>1341.64</v>
      </c>
      <c r="E12" s="74">
        <v>1083.44</v>
      </c>
      <c r="F12" s="74"/>
      <c r="G12" s="73"/>
    </row>
    <row r="13" spans="1:7" ht="16.5" customHeight="1">
      <c r="A13" s="33" t="s">
        <v>112</v>
      </c>
      <c r="B13" s="79">
        <v>9000</v>
      </c>
      <c r="C13" s="68">
        <v>8000</v>
      </c>
      <c r="D13" s="67">
        <v>8885.27</v>
      </c>
      <c r="E13" s="67"/>
      <c r="F13" s="67"/>
      <c r="G13" s="68">
        <v>8883.6</v>
      </c>
    </row>
    <row r="14" spans="1:7" ht="16.5" customHeight="1">
      <c r="A14" s="37" t="s">
        <v>36</v>
      </c>
      <c r="B14" s="72">
        <v>1000</v>
      </c>
      <c r="C14" s="73">
        <v>3000</v>
      </c>
      <c r="D14" s="74"/>
      <c r="E14" s="74"/>
      <c r="F14" s="74"/>
      <c r="G14" s="80"/>
    </row>
    <row r="15" spans="1:7" ht="16.5" customHeight="1">
      <c r="A15" s="33" t="s">
        <v>152</v>
      </c>
      <c r="B15" s="79">
        <v>7200</v>
      </c>
      <c r="C15" s="68">
        <v>6000</v>
      </c>
      <c r="D15" s="67">
        <v>7048</v>
      </c>
      <c r="E15" s="67">
        <v>5450</v>
      </c>
      <c r="F15" s="67"/>
      <c r="G15" s="68"/>
    </row>
    <row r="16" spans="1:7" ht="16.5" customHeight="1">
      <c r="A16" s="37" t="s">
        <v>8</v>
      </c>
      <c r="B16" s="72">
        <v>20000</v>
      </c>
      <c r="C16" s="73">
        <v>20000</v>
      </c>
      <c r="D16" s="74">
        <v>2710.5</v>
      </c>
      <c r="E16" s="74">
        <v>36165.64</v>
      </c>
      <c r="F16" s="74">
        <v>8185.48</v>
      </c>
      <c r="G16" s="73">
        <v>1312.5</v>
      </c>
    </row>
    <row r="17" spans="1:7" ht="16.5" customHeight="1">
      <c r="A17" s="33" t="s">
        <v>131</v>
      </c>
      <c r="B17" s="79">
        <v>18000</v>
      </c>
      <c r="C17" s="68">
        <v>17500</v>
      </c>
      <c r="D17" s="67">
        <f>21218.75-D18</f>
        <v>17718.75</v>
      </c>
      <c r="E17" s="67">
        <v>14875</v>
      </c>
      <c r="F17" s="67"/>
      <c r="G17" s="68"/>
    </row>
    <row r="18" spans="1:7" ht="16.5" customHeight="1">
      <c r="A18" s="37" t="s">
        <v>132</v>
      </c>
      <c r="B18" s="72"/>
      <c r="C18" s="73"/>
      <c r="D18" s="74">
        <f>1.25*2800</f>
        <v>3500</v>
      </c>
      <c r="E18" s="74"/>
      <c r="F18" s="74"/>
      <c r="G18" s="73"/>
    </row>
    <row r="19" spans="1:7" ht="16.5" customHeight="1">
      <c r="A19" s="33" t="s">
        <v>9</v>
      </c>
      <c r="B19" s="79">
        <v>1000</v>
      </c>
      <c r="C19" s="68">
        <v>3000</v>
      </c>
      <c r="D19" s="67">
        <v>845</v>
      </c>
      <c r="E19" s="67">
        <v>2450</v>
      </c>
      <c r="F19" s="67">
        <v>1700</v>
      </c>
      <c r="G19" s="68"/>
    </row>
    <row r="20" spans="1:7" ht="16.5" customHeight="1">
      <c r="A20" s="37" t="s">
        <v>133</v>
      </c>
      <c r="B20" s="72">
        <v>5000</v>
      </c>
      <c r="C20" s="73">
        <v>5000</v>
      </c>
      <c r="D20" s="74">
        <v>3000</v>
      </c>
      <c r="E20" s="74">
        <v>5050</v>
      </c>
      <c r="F20" s="74">
        <v>2500</v>
      </c>
      <c r="G20" s="80"/>
    </row>
    <row r="21" spans="1:7" ht="16.5" customHeight="1">
      <c r="A21" s="33" t="s">
        <v>50</v>
      </c>
      <c r="B21" s="79"/>
      <c r="C21" s="68"/>
      <c r="D21" s="67">
        <v>0</v>
      </c>
      <c r="E21" s="67">
        <v>629</v>
      </c>
      <c r="F21" s="67"/>
      <c r="G21" s="68"/>
    </row>
    <row r="22" spans="1:7" ht="16.5" customHeight="1">
      <c r="A22" s="37" t="s">
        <v>11</v>
      </c>
      <c r="B22" s="72"/>
      <c r="C22" s="73">
        <v>200</v>
      </c>
      <c r="D22" s="74">
        <v>25</v>
      </c>
      <c r="E22" s="74">
        <v>153</v>
      </c>
      <c r="F22" s="74">
        <v>116</v>
      </c>
      <c r="G22" s="74">
        <v>45</v>
      </c>
    </row>
    <row r="23" spans="1:7" ht="16.5" customHeight="1">
      <c r="A23" s="33" t="s">
        <v>123</v>
      </c>
      <c r="B23" s="79"/>
      <c r="C23" s="68"/>
      <c r="D23" s="67">
        <v>2093.75</v>
      </c>
      <c r="E23" s="67"/>
      <c r="F23" s="67"/>
      <c r="G23" s="68"/>
    </row>
    <row r="24" spans="1:7" ht="16.5" customHeight="1">
      <c r="A24" s="37" t="s">
        <v>12</v>
      </c>
      <c r="B24" s="72"/>
      <c r="C24" s="73">
        <v>100</v>
      </c>
      <c r="D24" s="74">
        <v>0</v>
      </c>
      <c r="E24" s="74">
        <v>0</v>
      </c>
      <c r="F24" s="74">
        <v>668</v>
      </c>
      <c r="G24" s="80">
        <v>82.95</v>
      </c>
    </row>
    <row r="25" spans="1:7" ht="16.5" customHeight="1">
      <c r="A25" s="35"/>
      <c r="B25" s="81"/>
      <c r="C25" s="82"/>
      <c r="D25" s="83"/>
      <c r="E25" s="83"/>
      <c r="F25" s="83"/>
      <c r="G25" s="82"/>
    </row>
    <row r="26" spans="1:7" ht="16.5" customHeight="1">
      <c r="A26" s="36" t="s">
        <v>13</v>
      </c>
      <c r="B26" s="84">
        <f aca="true" t="shared" si="2" ref="B26:G26">+B4-B9</f>
        <v>14600</v>
      </c>
      <c r="C26" s="85">
        <f t="shared" si="2"/>
        <v>15000</v>
      </c>
      <c r="D26" s="86">
        <f t="shared" si="2"/>
        <v>32318.69999999999</v>
      </c>
      <c r="E26" s="86">
        <f t="shared" si="2"/>
        <v>20798.040000000008</v>
      </c>
      <c r="F26" s="86">
        <f t="shared" si="2"/>
        <v>62757.91</v>
      </c>
      <c r="G26" s="85">
        <f t="shared" si="2"/>
        <v>79273</v>
      </c>
    </row>
    <row r="27" spans="1:7" ht="16.5" customHeight="1">
      <c r="A27" s="35"/>
      <c r="B27" s="81"/>
      <c r="C27" s="82"/>
      <c r="D27" s="83"/>
      <c r="E27" s="83"/>
      <c r="F27" s="83"/>
      <c r="G27" s="82"/>
    </row>
    <row r="28" spans="1:7" ht="16.5" customHeight="1">
      <c r="A28" s="32" t="s">
        <v>119</v>
      </c>
      <c r="B28" s="69">
        <f aca="true" t="shared" si="3" ref="B28:G28">SUM(B29:B30)</f>
        <v>40000</v>
      </c>
      <c r="C28" s="70">
        <f t="shared" si="3"/>
        <v>40000</v>
      </c>
      <c r="D28" s="71">
        <f t="shared" si="3"/>
        <v>40000</v>
      </c>
      <c r="E28" s="71">
        <f t="shared" si="3"/>
        <v>35000</v>
      </c>
      <c r="F28" s="71">
        <f t="shared" si="3"/>
        <v>20000</v>
      </c>
      <c r="G28" s="70">
        <f t="shared" si="3"/>
        <v>0</v>
      </c>
    </row>
    <row r="29" spans="1:7" ht="16.5" customHeight="1">
      <c r="A29" s="37" t="s">
        <v>53</v>
      </c>
      <c r="B29" s="87">
        <v>25000</v>
      </c>
      <c r="C29" s="80">
        <v>25000</v>
      </c>
      <c r="D29" s="88">
        <v>25000</v>
      </c>
      <c r="E29" s="88">
        <v>20000</v>
      </c>
      <c r="F29" s="88"/>
      <c r="G29" s="80"/>
    </row>
    <row r="30" spans="1:7" ht="16.5" customHeight="1">
      <c r="A30" s="33" t="s">
        <v>52</v>
      </c>
      <c r="B30" s="75">
        <v>15000</v>
      </c>
      <c r="C30" s="89">
        <v>15000</v>
      </c>
      <c r="D30" s="90">
        <v>15000</v>
      </c>
      <c r="E30" s="90">
        <v>15000</v>
      </c>
      <c r="F30" s="90">
        <v>20000</v>
      </c>
      <c r="G30" s="89"/>
    </row>
    <row r="31" spans="1:7" ht="16.5" customHeight="1">
      <c r="A31" s="35"/>
      <c r="B31" s="81"/>
      <c r="C31" s="91"/>
      <c r="D31" s="83"/>
      <c r="E31" s="83"/>
      <c r="F31" s="83"/>
      <c r="G31" s="82"/>
    </row>
    <row r="32" spans="1:7" ht="16.5" customHeight="1">
      <c r="A32" s="32" t="s">
        <v>122</v>
      </c>
      <c r="B32" s="69">
        <f>+B26+D32</f>
        <v>209747.65</v>
      </c>
      <c r="C32" s="70">
        <f>+C26+E32</f>
        <v>177828.95</v>
      </c>
      <c r="D32" s="71">
        <f>+D26+E26+F26+G26</f>
        <v>195147.65</v>
      </c>
      <c r="E32" s="71">
        <f>+E26+F32</f>
        <v>162828.95</v>
      </c>
      <c r="F32" s="71">
        <f>+F26+G32</f>
        <v>142030.91</v>
      </c>
      <c r="G32" s="70">
        <f>+G33+G34</f>
        <v>79273</v>
      </c>
    </row>
    <row r="33" spans="1:7" ht="16.5" customHeight="1">
      <c r="A33" s="37" t="s">
        <v>120</v>
      </c>
      <c r="B33" s="72">
        <f>+B32-B34</f>
        <v>74370.50999999998</v>
      </c>
      <c r="C33" s="73">
        <f>+C32-C34</f>
        <v>82828.95000000001</v>
      </c>
      <c r="D33" s="74">
        <f>+D32-D34</f>
        <v>99770.51</v>
      </c>
      <c r="E33" s="74">
        <f>+E32-E34</f>
        <v>162828.95</v>
      </c>
      <c r="F33" s="74">
        <f>+F32-F34</f>
        <v>142030.91</v>
      </c>
      <c r="G33" s="73">
        <f>+G26</f>
        <v>79273</v>
      </c>
    </row>
    <row r="34" spans="1:7" ht="16.5" customHeight="1">
      <c r="A34" s="34" t="s">
        <v>121</v>
      </c>
      <c r="B34" s="92">
        <f>+B28+D34</f>
        <v>135377.14</v>
      </c>
      <c r="C34" s="93">
        <f>+C28+E28+F28</f>
        <v>95000</v>
      </c>
      <c r="D34" s="94">
        <f>+D28+E28+F28+D7</f>
        <v>95377.14</v>
      </c>
      <c r="E34" s="94"/>
      <c r="F34" s="94"/>
      <c r="G34" s="93">
        <f>+G28</f>
        <v>0</v>
      </c>
    </row>
    <row r="35" spans="1:7" ht="16.5" customHeight="1">
      <c r="A35" s="35"/>
      <c r="B35" s="81"/>
      <c r="C35" s="91"/>
      <c r="D35" s="83"/>
      <c r="E35" s="83"/>
      <c r="F35" s="83"/>
      <c r="G35" s="82"/>
    </row>
    <row r="36" spans="1:7" ht="16.5" customHeight="1">
      <c r="A36" s="32" t="s">
        <v>134</v>
      </c>
      <c r="B36" s="69">
        <v>2000</v>
      </c>
      <c r="C36" s="70">
        <v>2000</v>
      </c>
      <c r="D36" s="71">
        <v>2000</v>
      </c>
      <c r="E36" s="71">
        <v>2000</v>
      </c>
      <c r="F36" s="71">
        <v>1800</v>
      </c>
      <c r="G36" s="70">
        <v>2800</v>
      </c>
    </row>
    <row r="37" spans="1:7" ht="16.5" customHeight="1">
      <c r="A37" s="34"/>
      <c r="B37" s="95"/>
      <c r="C37" s="93"/>
      <c r="D37" s="94"/>
      <c r="E37" s="94"/>
      <c r="F37" s="94"/>
      <c r="G37" s="93"/>
    </row>
    <row r="38" ht="19.5" customHeight="1">
      <c r="A38" s="31" t="s">
        <v>151</v>
      </c>
    </row>
    <row r="39" spans="1:7" ht="45" customHeight="1">
      <c r="A39" s="236" t="s">
        <v>158</v>
      </c>
      <c r="B39" s="236"/>
      <c r="C39" s="236"/>
      <c r="D39" s="236"/>
      <c r="E39" s="236"/>
      <c r="F39" s="236"/>
      <c r="G39" s="236"/>
    </row>
    <row r="40" ht="22.5" customHeight="1">
      <c r="A40" s="31" t="s">
        <v>156</v>
      </c>
    </row>
    <row r="42" ht="12.75">
      <c r="A42" s="51"/>
    </row>
  </sheetData>
  <sheetProtection/>
  <mergeCells count="3">
    <mergeCell ref="A39:G39"/>
    <mergeCell ref="D1:G1"/>
    <mergeCell ref="B1:C1"/>
  </mergeCells>
  <printOptions/>
  <pageMargins left="0.7" right="0.7" top="0.75" bottom="0.75" header="0.3" footer="0.3"/>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dimension ref="A1:F38"/>
  <sheetViews>
    <sheetView zoomScalePageLayoutView="0" workbookViewId="0" topLeftCell="A7">
      <selection activeCell="A34" sqref="A34"/>
    </sheetView>
  </sheetViews>
  <sheetFormatPr defaultColWidth="9.28125" defaultRowHeight="15"/>
  <cols>
    <col min="1" max="1" width="22.28125" style="5" customWidth="1"/>
    <col min="2" max="2" width="59.28125" style="11" customWidth="1"/>
    <col min="3" max="3" width="13.57421875" style="11" customWidth="1"/>
    <col min="4" max="4" width="3.7109375" style="11" customWidth="1"/>
    <col min="5" max="5" width="57.28125" style="11" bestFit="1" customWidth="1"/>
    <col min="6" max="6" width="4.421875" style="11" bestFit="1" customWidth="1"/>
    <col min="7" max="7" width="3.28125" style="11" bestFit="1" customWidth="1"/>
    <col min="8" max="16384" width="9.28125" style="11" customWidth="1"/>
  </cols>
  <sheetData>
    <row r="1" ht="15" customHeight="1">
      <c r="A1" s="5" t="s">
        <v>0</v>
      </c>
    </row>
    <row r="2" ht="15" customHeight="1">
      <c r="A2" s="5" t="s">
        <v>60</v>
      </c>
    </row>
    <row r="3" ht="15" customHeight="1"/>
    <row r="4" ht="15" customHeight="1"/>
    <row r="5" ht="15" customHeight="1"/>
    <row r="6" spans="1:4" ht="15" customHeight="1">
      <c r="A6" s="5" t="s">
        <v>61</v>
      </c>
      <c r="B6" s="11" t="s">
        <v>36</v>
      </c>
      <c r="C6" s="12">
        <v>3000</v>
      </c>
      <c r="D6" s="12"/>
    </row>
    <row r="7" spans="2:4" ht="15" customHeight="1">
      <c r="B7" s="13" t="s">
        <v>62</v>
      </c>
      <c r="C7" s="12"/>
      <c r="D7" s="12"/>
    </row>
    <row r="8" ht="18" customHeight="1"/>
    <row r="9" spans="1:4" ht="15" customHeight="1">
      <c r="A9" s="5" t="s">
        <v>58</v>
      </c>
      <c r="B9" s="11" t="s">
        <v>37</v>
      </c>
      <c r="C9" s="12">
        <v>8000</v>
      </c>
      <c r="D9" s="12"/>
    </row>
    <row r="10" ht="9" customHeight="1"/>
    <row r="11" spans="2:4" ht="15" customHeight="1">
      <c r="B11" s="11" t="s">
        <v>38</v>
      </c>
      <c r="C11" s="12">
        <v>14000</v>
      </c>
      <c r="D11" s="12"/>
    </row>
    <row r="12" ht="18" customHeight="1"/>
    <row r="13" spans="1:4" ht="15" customHeight="1">
      <c r="A13" s="5" t="s">
        <v>39</v>
      </c>
      <c r="B13" s="11" t="s">
        <v>40</v>
      </c>
      <c r="C13" s="12">
        <v>20000</v>
      </c>
      <c r="D13" s="12"/>
    </row>
    <row r="14" ht="18" customHeight="1"/>
    <row r="15" spans="1:4" ht="15" customHeight="1">
      <c r="A15" s="5" t="s">
        <v>41</v>
      </c>
      <c r="B15" s="11" t="s">
        <v>66</v>
      </c>
      <c r="C15" s="12">
        <v>17500</v>
      </c>
      <c r="D15" s="12"/>
    </row>
    <row r="16" ht="18" customHeight="1"/>
    <row r="17" spans="1:4" ht="15" customHeight="1">
      <c r="A17" s="5" t="s">
        <v>59</v>
      </c>
      <c r="B17" s="11" t="s">
        <v>43</v>
      </c>
      <c r="C17" s="12">
        <v>6000</v>
      </c>
      <c r="D17" s="12"/>
    </row>
    <row r="18" ht="9" customHeight="1"/>
    <row r="19" spans="2:4" ht="15" customHeight="1">
      <c r="B19" s="11" t="s">
        <v>42</v>
      </c>
      <c r="C19" s="12">
        <v>500</v>
      </c>
      <c r="D19" s="12"/>
    </row>
    <row r="20" ht="18.75" customHeight="1"/>
    <row r="21" spans="1:4" ht="15" customHeight="1">
      <c r="A21" s="5" t="s">
        <v>44</v>
      </c>
      <c r="B21" s="11" t="s">
        <v>45</v>
      </c>
      <c r="C21" s="12">
        <v>8000</v>
      </c>
      <c r="D21" s="12"/>
    </row>
    <row r="22" ht="18" customHeight="1"/>
    <row r="23" spans="1:3" ht="15" customHeight="1">
      <c r="A23" s="5" t="s">
        <v>94</v>
      </c>
      <c r="B23" s="11" t="s">
        <v>53</v>
      </c>
      <c r="C23" s="12">
        <v>25000</v>
      </c>
    </row>
    <row r="24" ht="15" customHeight="1">
      <c r="B24" s="13" t="s">
        <v>64</v>
      </c>
    </row>
    <row r="25" ht="15" customHeight="1">
      <c r="B25" s="13" t="s">
        <v>68</v>
      </c>
    </row>
    <row r="26" ht="9" customHeight="1">
      <c r="B26" s="13"/>
    </row>
    <row r="27" spans="2:3" ht="15" customHeight="1">
      <c r="B27" s="11" t="s">
        <v>52</v>
      </c>
      <c r="C27" s="12">
        <v>15000</v>
      </c>
    </row>
    <row r="28" ht="15" customHeight="1"/>
    <row r="29" ht="15" customHeight="1"/>
    <row r="30" spans="2:3" ht="20.25" customHeight="1" thickBot="1">
      <c r="B30" s="5" t="s">
        <v>46</v>
      </c>
      <c r="C30" s="17">
        <f>SUM(C6:C28)</f>
        <v>117000</v>
      </c>
    </row>
    <row r="31" ht="15" customHeight="1"/>
    <row r="32" spans="2:3" ht="15" customHeight="1">
      <c r="B32" s="11" t="s">
        <v>69</v>
      </c>
      <c r="C32" s="12">
        <f>+C30/46</f>
        <v>2543.478260869565</v>
      </c>
    </row>
    <row r="33" spans="2:6" ht="15" customHeight="1">
      <c r="B33" s="11" t="s">
        <v>91</v>
      </c>
      <c r="C33" s="12">
        <f>+(C23+C27)/46</f>
        <v>869.5652173913044</v>
      </c>
      <c r="F33" s="12"/>
    </row>
    <row r="34" ht="15" customHeight="1">
      <c r="E34" s="12"/>
    </row>
    <row r="35" ht="15" customHeight="1">
      <c r="B35" s="11" t="s">
        <v>71</v>
      </c>
    </row>
    <row r="36" spans="2:3" ht="15" customHeight="1">
      <c r="B36" s="11" t="s">
        <v>70</v>
      </c>
      <c r="C36" s="12">
        <f>-25000/46</f>
        <v>-543.4782608695652</v>
      </c>
    </row>
    <row r="38" spans="2:3" ht="15.75" thickBot="1">
      <c r="B38" s="11" t="s">
        <v>67</v>
      </c>
      <c r="C38" s="18">
        <f>+C32+C36</f>
        <v>1999.9999999999998</v>
      </c>
    </row>
  </sheetData>
  <sheetProtection/>
  <printOptions/>
  <pageMargins left="0.7" right="0.7" top="0.75" bottom="0.75" header="0.3" footer="0.3"/>
  <pageSetup orientation="portrait" paperSize="9" scale="84" r:id="rId1"/>
</worksheet>
</file>

<file path=xl/worksheets/sheet13.xml><?xml version="1.0" encoding="utf-8"?>
<worksheet xmlns="http://schemas.openxmlformats.org/spreadsheetml/2006/main" xmlns:r="http://schemas.openxmlformats.org/officeDocument/2006/relationships">
  <dimension ref="A1:D36"/>
  <sheetViews>
    <sheetView zoomScalePageLayoutView="0" workbookViewId="0" topLeftCell="A13">
      <selection activeCell="C11" sqref="C11"/>
    </sheetView>
  </sheetViews>
  <sheetFormatPr defaultColWidth="9.140625" defaultRowHeight="15"/>
  <cols>
    <col min="1" max="1" width="19.57421875" style="4" customWidth="1"/>
    <col min="2" max="2" width="54.28125" style="0" customWidth="1"/>
    <col min="3" max="3" width="7.57421875" style="0" bestFit="1" customWidth="1"/>
    <col min="5" max="5" width="39.28125" style="0" bestFit="1" customWidth="1"/>
  </cols>
  <sheetData>
    <row r="1" ht="15" customHeight="1">
      <c r="A1" s="4" t="s">
        <v>0</v>
      </c>
    </row>
    <row r="2" ht="15" customHeight="1">
      <c r="A2" s="4" t="s">
        <v>60</v>
      </c>
    </row>
    <row r="3" ht="15" customHeight="1"/>
    <row r="4" ht="15" customHeight="1"/>
    <row r="5" ht="15" customHeight="1"/>
    <row r="6" spans="1:4" ht="15" customHeight="1">
      <c r="A6" s="4" t="s">
        <v>61</v>
      </c>
      <c r="B6" t="s">
        <v>36</v>
      </c>
      <c r="C6" s="6">
        <v>3000</v>
      </c>
      <c r="D6" s="6"/>
    </row>
    <row r="7" spans="2:4" ht="15" customHeight="1">
      <c r="B7" s="8" t="s">
        <v>62</v>
      </c>
      <c r="C7" s="6"/>
      <c r="D7" s="6"/>
    </row>
    <row r="8" ht="18" customHeight="1"/>
    <row r="9" spans="1:4" ht="15" customHeight="1">
      <c r="A9" s="4" t="s">
        <v>58</v>
      </c>
      <c r="B9" t="s">
        <v>37</v>
      </c>
      <c r="C9" s="6">
        <v>8000</v>
      </c>
      <c r="D9" s="6"/>
    </row>
    <row r="10" ht="9" customHeight="1"/>
    <row r="11" spans="2:4" ht="15" customHeight="1">
      <c r="B11" t="s">
        <v>38</v>
      </c>
      <c r="C11" s="6">
        <v>12000</v>
      </c>
      <c r="D11" s="6"/>
    </row>
    <row r="12" ht="18" customHeight="1"/>
    <row r="13" spans="1:4" ht="15" customHeight="1">
      <c r="A13" s="4" t="s">
        <v>39</v>
      </c>
      <c r="B13" t="s">
        <v>40</v>
      </c>
      <c r="C13" s="6">
        <v>15000</v>
      </c>
      <c r="D13" s="6"/>
    </row>
    <row r="14" ht="18" customHeight="1"/>
    <row r="15" spans="1:4" ht="15" customHeight="1">
      <c r="A15" s="4" t="s">
        <v>41</v>
      </c>
      <c r="B15" t="s">
        <v>51</v>
      </c>
      <c r="C15" s="6">
        <v>15000</v>
      </c>
      <c r="D15" s="6"/>
    </row>
    <row r="16" ht="18" customHeight="1"/>
    <row r="17" spans="1:4" ht="15" customHeight="1">
      <c r="A17" s="4" t="s">
        <v>59</v>
      </c>
      <c r="B17" t="s">
        <v>43</v>
      </c>
      <c r="C17" s="6">
        <v>5000</v>
      </c>
      <c r="D17" s="6"/>
    </row>
    <row r="18" ht="9" customHeight="1"/>
    <row r="19" spans="2:4" ht="15" customHeight="1">
      <c r="B19" t="s">
        <v>42</v>
      </c>
      <c r="C19" s="6">
        <v>1000</v>
      </c>
      <c r="D19" s="6"/>
    </row>
    <row r="20" ht="18.75" customHeight="1"/>
    <row r="21" spans="1:4" ht="15" customHeight="1">
      <c r="A21" s="4" t="s">
        <v>44</v>
      </c>
      <c r="B21" t="s">
        <v>45</v>
      </c>
      <c r="C21" s="6">
        <v>8000</v>
      </c>
      <c r="D21" s="6"/>
    </row>
    <row r="22" ht="18" customHeight="1"/>
    <row r="23" spans="1:3" ht="15" customHeight="1">
      <c r="A23" s="4" t="s">
        <v>63</v>
      </c>
      <c r="B23" t="s">
        <v>53</v>
      </c>
      <c r="C23" s="6">
        <v>20000</v>
      </c>
    </row>
    <row r="24" ht="15" customHeight="1">
      <c r="B24" s="8" t="s">
        <v>64</v>
      </c>
    </row>
    <row r="25" ht="15" customHeight="1">
      <c r="B25" s="8" t="s">
        <v>65</v>
      </c>
    </row>
    <row r="26" ht="9" customHeight="1">
      <c r="B26" s="8"/>
    </row>
    <row r="27" spans="2:3" ht="15" customHeight="1">
      <c r="B27" t="s">
        <v>52</v>
      </c>
      <c r="C27" s="6">
        <v>15000</v>
      </c>
    </row>
    <row r="28" ht="15" customHeight="1"/>
    <row r="29" ht="15" customHeight="1">
      <c r="C29" s="6"/>
    </row>
    <row r="30" ht="15" customHeight="1"/>
    <row r="31" spans="2:3" ht="20.25" customHeight="1" thickBot="1">
      <c r="B31" s="4" t="s">
        <v>46</v>
      </c>
      <c r="C31" s="9">
        <f>SUM(C6:C28)</f>
        <v>102000</v>
      </c>
    </row>
    <row r="32" ht="15" customHeight="1"/>
    <row r="33" spans="2:3" ht="15" customHeight="1" thickBot="1">
      <c r="B33" t="s">
        <v>47</v>
      </c>
      <c r="C33" s="10">
        <v>2000</v>
      </c>
    </row>
    <row r="34" ht="15" customHeight="1"/>
    <row r="35" spans="2:3" ht="15" customHeight="1">
      <c r="B35" t="s">
        <v>48</v>
      </c>
      <c r="C35" s="6">
        <f>+C31/46</f>
        <v>2217.391304347826</v>
      </c>
    </row>
    <row r="36" ht="15" customHeight="1">
      <c r="B36" t="s">
        <v>49</v>
      </c>
    </row>
  </sheetData>
  <sheetProtection/>
  <printOptions/>
  <pageMargins left="0.7" right="0.7" top="0.75" bottom="0.75" header="0.3" footer="0.3"/>
  <pageSetup orientation="portrait" paperSize="9" scale="98" r:id="rId1"/>
</worksheet>
</file>

<file path=xl/worksheets/sheet14.xml><?xml version="1.0" encoding="utf-8"?>
<worksheet xmlns="http://schemas.openxmlformats.org/spreadsheetml/2006/main" xmlns:r="http://schemas.openxmlformats.org/officeDocument/2006/relationships">
  <dimension ref="A1:E29"/>
  <sheetViews>
    <sheetView zoomScalePageLayoutView="0" workbookViewId="0" topLeftCell="A13">
      <selection activeCell="D18" sqref="D18"/>
    </sheetView>
  </sheetViews>
  <sheetFormatPr defaultColWidth="9.28125" defaultRowHeight="15"/>
  <cols>
    <col min="1" max="1" width="5.28125" style="11" customWidth="1"/>
    <col min="2" max="2" width="53.7109375" style="11" bestFit="1" customWidth="1"/>
    <col min="3" max="3" width="17.7109375" style="11" bestFit="1" customWidth="1"/>
    <col min="4" max="4" width="18.28125" style="11" customWidth="1"/>
    <col min="5" max="5" width="17.7109375" style="11" bestFit="1" customWidth="1"/>
    <col min="6" max="16384" width="9.28125" style="11" customWidth="1"/>
  </cols>
  <sheetData>
    <row r="1" ht="15">
      <c r="A1" s="5" t="s">
        <v>0</v>
      </c>
    </row>
    <row r="3" ht="15">
      <c r="A3" s="5" t="s">
        <v>94</v>
      </c>
    </row>
    <row r="4" spans="3:5" ht="15">
      <c r="C4" s="11" t="s">
        <v>72</v>
      </c>
      <c r="D4" s="11" t="s">
        <v>73</v>
      </c>
      <c r="E4" s="11" t="s">
        <v>74</v>
      </c>
    </row>
    <row r="6" spans="2:5" ht="15">
      <c r="B6" s="11" t="s">
        <v>53</v>
      </c>
      <c r="C6" s="12">
        <v>25000</v>
      </c>
      <c r="D6" s="12">
        <v>20000</v>
      </c>
      <c r="E6" s="12"/>
    </row>
    <row r="7" spans="1:5" ht="15">
      <c r="A7" s="5"/>
      <c r="B7" s="25" t="s">
        <v>64</v>
      </c>
      <c r="C7" s="12"/>
      <c r="D7" s="12"/>
      <c r="E7" s="12"/>
    </row>
    <row r="8" spans="1:5" ht="15">
      <c r="A8" s="5"/>
      <c r="B8" s="25" t="s">
        <v>65</v>
      </c>
      <c r="C8" s="12"/>
      <c r="D8" s="12"/>
      <c r="E8" s="12"/>
    </row>
    <row r="9" spans="1:5" ht="9.75" customHeight="1">
      <c r="A9" s="5"/>
      <c r="B9" s="13"/>
      <c r="C9" s="12"/>
      <c r="D9" s="12"/>
      <c r="E9" s="12"/>
    </row>
    <row r="10" spans="1:5" ht="15">
      <c r="A10" s="5"/>
      <c r="B10" s="11" t="s">
        <v>52</v>
      </c>
      <c r="C10" s="12">
        <v>15000</v>
      </c>
      <c r="D10" s="12">
        <v>15000</v>
      </c>
      <c r="E10" s="12">
        <v>20000</v>
      </c>
    </row>
    <row r="11" spans="1:5" ht="9.75" customHeight="1">
      <c r="A11" s="5"/>
      <c r="C11" s="12"/>
      <c r="D11" s="12"/>
      <c r="E11" s="12"/>
    </row>
    <row r="12" spans="2:5" ht="15">
      <c r="B12" s="11" t="s">
        <v>79</v>
      </c>
      <c r="C12" s="12">
        <v>-25000</v>
      </c>
      <c r="E12" s="12">
        <v>25000</v>
      </c>
    </row>
    <row r="13" spans="2:5" ht="15">
      <c r="B13" s="25" t="s">
        <v>100</v>
      </c>
      <c r="E13" s="12"/>
    </row>
    <row r="14" spans="2:5" ht="15">
      <c r="B14" s="29" t="s">
        <v>105</v>
      </c>
      <c r="E14" s="12"/>
    </row>
    <row r="15" spans="2:5" ht="15">
      <c r="B15" s="14" t="s">
        <v>75</v>
      </c>
      <c r="C15" s="15">
        <f>SUM(C6:C13)</f>
        <v>15000</v>
      </c>
      <c r="D15" s="15">
        <f>SUM(D6:D12)</f>
        <v>35000</v>
      </c>
      <c r="E15" s="15">
        <f>SUM(E6:E12)</f>
        <v>45000</v>
      </c>
    </row>
    <row r="18" spans="2:3" ht="15">
      <c r="B18" s="11" t="s">
        <v>76</v>
      </c>
      <c r="C18" s="12">
        <f>+D15+E15</f>
        <v>80000</v>
      </c>
    </row>
    <row r="19" spans="2:3" ht="15">
      <c r="B19" s="11" t="s">
        <v>101</v>
      </c>
      <c r="C19" s="12">
        <f>+C18+C15</f>
        <v>95000</v>
      </c>
    </row>
    <row r="22" spans="2:3" ht="19.5" customHeight="1">
      <c r="B22" s="5" t="s">
        <v>92</v>
      </c>
      <c r="C22" s="16">
        <v>162828.95</v>
      </c>
    </row>
    <row r="23" spans="2:3" ht="19.5" customHeight="1">
      <c r="B23" s="26" t="s">
        <v>93</v>
      </c>
      <c r="C23" s="16">
        <f>+D6+D10+E10</f>
        <v>55000</v>
      </c>
    </row>
    <row r="24" spans="2:4" ht="19.5" customHeight="1">
      <c r="B24" s="26" t="s">
        <v>98</v>
      </c>
      <c r="C24" s="16">
        <f>+E12</f>
        <v>25000</v>
      </c>
      <c r="D24" s="11" t="s">
        <v>99</v>
      </c>
    </row>
    <row r="25" spans="2:3" ht="19.5" customHeight="1">
      <c r="B25" s="27" t="s">
        <v>102</v>
      </c>
      <c r="C25" s="28">
        <f>+C22-C23-C24</f>
        <v>82828.95000000001</v>
      </c>
    </row>
    <row r="27" ht="15">
      <c r="B27" s="11" t="s">
        <v>103</v>
      </c>
    </row>
    <row r="28" ht="15">
      <c r="B28" s="11" t="s">
        <v>104</v>
      </c>
    </row>
    <row r="29" ht="15">
      <c r="B29" s="11" t="s">
        <v>106</v>
      </c>
    </row>
  </sheetData>
  <sheetProtection/>
  <printOptions/>
  <pageMargins left="0.75" right="0.75" top="1" bottom="1" header="0" footer="0"/>
  <pageSetup orientation="landscape" paperSize="9" r:id="rId1"/>
</worksheet>
</file>

<file path=xl/worksheets/sheet15.xml><?xml version="1.0" encoding="utf-8"?>
<worksheet xmlns="http://schemas.openxmlformats.org/spreadsheetml/2006/main" xmlns:r="http://schemas.openxmlformats.org/officeDocument/2006/relationships">
  <dimension ref="A1:H28"/>
  <sheetViews>
    <sheetView zoomScalePageLayoutView="0" workbookViewId="0" topLeftCell="A1">
      <selection activeCell="H9" sqref="H9"/>
    </sheetView>
  </sheetViews>
  <sheetFormatPr defaultColWidth="9.28125" defaultRowHeight="15"/>
  <cols>
    <col min="1" max="1" width="24.28125" style="53" bestFit="1" customWidth="1"/>
    <col min="2" max="3" width="9.00390625" style="53" bestFit="1" customWidth="1"/>
    <col min="4" max="6" width="10.00390625" style="53" customWidth="1"/>
    <col min="7" max="16384" width="9.28125" style="53" customWidth="1"/>
  </cols>
  <sheetData>
    <row r="1" spans="1:6" ht="14.25">
      <c r="A1" s="50" t="s">
        <v>146</v>
      </c>
      <c r="B1" s="96" t="s">
        <v>178</v>
      </c>
      <c r="C1" s="96" t="s">
        <v>168</v>
      </c>
      <c r="D1" s="96" t="s">
        <v>136</v>
      </c>
      <c r="E1" s="96" t="s">
        <v>144</v>
      </c>
      <c r="F1" s="96" t="s">
        <v>145</v>
      </c>
    </row>
    <row r="2" spans="1:6" ht="14.25">
      <c r="A2" s="54" t="s">
        <v>137</v>
      </c>
      <c r="B2" s="54">
        <v>3</v>
      </c>
      <c r="C2" s="54">
        <v>2</v>
      </c>
      <c r="D2" s="54">
        <v>2</v>
      </c>
      <c r="E2" s="54">
        <v>4</v>
      </c>
      <c r="F2" s="54">
        <v>3</v>
      </c>
    </row>
    <row r="3" spans="1:6" ht="14.25">
      <c r="A3" s="49" t="s">
        <v>138</v>
      </c>
      <c r="B3" s="49">
        <v>2</v>
      </c>
      <c r="C3" s="49">
        <v>2</v>
      </c>
      <c r="D3" s="49">
        <v>2</v>
      </c>
      <c r="E3" s="49">
        <v>0.5</v>
      </c>
      <c r="F3" s="49">
        <v>2</v>
      </c>
    </row>
    <row r="4" spans="1:6" ht="14.25">
      <c r="A4" s="49" t="s">
        <v>139</v>
      </c>
      <c r="B4" s="49">
        <v>3</v>
      </c>
      <c r="C4" s="49"/>
      <c r="D4" s="49"/>
      <c r="E4" s="49">
        <v>2</v>
      </c>
      <c r="F4" s="49">
        <v>1</v>
      </c>
    </row>
    <row r="5" spans="1:6" ht="14.25">
      <c r="A5" s="49" t="s">
        <v>140</v>
      </c>
      <c r="B5" s="49">
        <v>3</v>
      </c>
      <c r="C5" s="49"/>
      <c r="D5" s="49"/>
      <c r="E5" s="49">
        <v>3</v>
      </c>
      <c r="F5" s="49">
        <v>3</v>
      </c>
    </row>
    <row r="6" spans="1:6" ht="14.25">
      <c r="A6" s="49" t="s">
        <v>141</v>
      </c>
      <c r="B6" s="49">
        <v>3</v>
      </c>
      <c r="C6" s="49"/>
      <c r="D6" s="49"/>
      <c r="E6" s="49">
        <v>3</v>
      </c>
      <c r="F6" s="49">
        <v>3</v>
      </c>
    </row>
    <row r="7" spans="1:6" ht="14.25">
      <c r="A7" s="49" t="s">
        <v>142</v>
      </c>
      <c r="B7" s="49">
        <v>3</v>
      </c>
      <c r="C7" s="49"/>
      <c r="D7" s="49"/>
      <c r="E7" s="49">
        <v>4</v>
      </c>
      <c r="F7" s="49">
        <v>2</v>
      </c>
    </row>
    <row r="8" spans="1:6" ht="14.25">
      <c r="A8" s="55" t="s">
        <v>143</v>
      </c>
      <c r="B8" s="55">
        <v>3</v>
      </c>
      <c r="C8" s="55"/>
      <c r="D8" s="55"/>
      <c r="E8" s="55">
        <v>3</v>
      </c>
      <c r="F8" s="55">
        <v>3</v>
      </c>
    </row>
    <row r="9" spans="1:6" ht="14.25">
      <c r="A9" s="50" t="s">
        <v>147</v>
      </c>
      <c r="B9" s="50">
        <f>SUM(B2:B8)</f>
        <v>20</v>
      </c>
      <c r="C9" s="50">
        <f>SUM(C2:C8)</f>
        <v>4</v>
      </c>
      <c r="D9" s="50">
        <f>SUM(D2:D8)</f>
        <v>4</v>
      </c>
      <c r="E9" s="50">
        <f>SUM(E2:E8)</f>
        <v>19.5</v>
      </c>
      <c r="F9" s="50">
        <f>SUM(F2:F8)</f>
        <v>17</v>
      </c>
    </row>
    <row r="12" spans="1:6" ht="14.25">
      <c r="A12" s="50" t="s">
        <v>148</v>
      </c>
      <c r="B12" s="96" t="s">
        <v>178</v>
      </c>
      <c r="C12" s="96" t="s">
        <v>168</v>
      </c>
      <c r="D12" s="96" t="s">
        <v>136</v>
      </c>
      <c r="E12" s="96" t="s">
        <v>144</v>
      </c>
      <c r="F12" s="96" t="s">
        <v>145</v>
      </c>
    </row>
    <row r="13" spans="1:6" ht="14.25">
      <c r="A13" s="54" t="s">
        <v>137</v>
      </c>
      <c r="B13" s="56">
        <f aca="true" t="shared" si="0" ref="B13:D19">735*1.25</f>
        <v>918.75</v>
      </c>
      <c r="C13" s="56">
        <f t="shared" si="0"/>
        <v>918.75</v>
      </c>
      <c r="D13" s="56">
        <f t="shared" si="0"/>
        <v>918.75</v>
      </c>
      <c r="E13" s="56">
        <f>700*1.25</f>
        <v>875</v>
      </c>
      <c r="F13" s="56">
        <f>700*1.25</f>
        <v>875</v>
      </c>
    </row>
    <row r="14" spans="1:6" ht="14.25">
      <c r="A14" s="49" t="s">
        <v>138</v>
      </c>
      <c r="B14" s="57">
        <f t="shared" si="0"/>
        <v>918.75</v>
      </c>
      <c r="C14" s="57">
        <f t="shared" si="0"/>
        <v>918.75</v>
      </c>
      <c r="D14" s="57">
        <f t="shared" si="0"/>
        <v>918.75</v>
      </c>
      <c r="E14" s="57">
        <f>700*1.25</f>
        <v>875</v>
      </c>
      <c r="F14" s="57">
        <f aca="true" t="shared" si="1" ref="F14:F19">700*1.25</f>
        <v>875</v>
      </c>
    </row>
    <row r="15" spans="1:6" ht="14.25">
      <c r="A15" s="49" t="s">
        <v>139</v>
      </c>
      <c r="B15" s="56">
        <f t="shared" si="0"/>
        <v>918.75</v>
      </c>
      <c r="C15" s="49"/>
      <c r="D15" s="49"/>
      <c r="E15" s="57">
        <f>735*1.25</f>
        <v>918.75</v>
      </c>
      <c r="F15" s="57">
        <f t="shared" si="1"/>
        <v>875</v>
      </c>
    </row>
    <row r="16" spans="1:6" ht="14.25">
      <c r="A16" s="49" t="s">
        <v>140</v>
      </c>
      <c r="B16" s="57">
        <f t="shared" si="0"/>
        <v>918.75</v>
      </c>
      <c r="C16" s="49"/>
      <c r="D16" s="49"/>
      <c r="E16" s="57">
        <f>735*1.25</f>
        <v>918.75</v>
      </c>
      <c r="F16" s="57">
        <f t="shared" si="1"/>
        <v>875</v>
      </c>
    </row>
    <row r="17" spans="1:8" ht="14.25">
      <c r="A17" s="49" t="s">
        <v>141</v>
      </c>
      <c r="B17" s="56">
        <f t="shared" si="0"/>
        <v>918.75</v>
      </c>
      <c r="C17" s="49"/>
      <c r="D17" s="49"/>
      <c r="E17" s="57">
        <f>735*1.25</f>
        <v>918.75</v>
      </c>
      <c r="F17" s="57">
        <f t="shared" si="1"/>
        <v>875</v>
      </c>
      <c r="H17" s="58"/>
    </row>
    <row r="18" spans="1:6" ht="14.25">
      <c r="A18" s="49" t="s">
        <v>142</v>
      </c>
      <c r="B18" s="57">
        <f t="shared" si="0"/>
        <v>918.75</v>
      </c>
      <c r="C18" s="49"/>
      <c r="D18" s="49"/>
      <c r="E18" s="57">
        <f>735*1.25</f>
        <v>918.75</v>
      </c>
      <c r="F18" s="57">
        <f t="shared" si="1"/>
        <v>875</v>
      </c>
    </row>
    <row r="19" spans="1:6" ht="14.25">
      <c r="A19" s="55" t="s">
        <v>143</v>
      </c>
      <c r="B19" s="57">
        <f t="shared" si="0"/>
        <v>918.75</v>
      </c>
      <c r="C19" s="55"/>
      <c r="D19" s="55"/>
      <c r="E19" s="59">
        <f>735*1.25</f>
        <v>918.75</v>
      </c>
      <c r="F19" s="59">
        <f t="shared" si="1"/>
        <v>875</v>
      </c>
    </row>
    <row r="20" spans="1:8" ht="14.25">
      <c r="A20" s="50" t="s">
        <v>149</v>
      </c>
      <c r="B20" s="60">
        <f>+B2*B13+B3*B14+B4*B15+B5*B16+B6*B17+B7*B18+B8*B19</f>
        <v>18375</v>
      </c>
      <c r="C20" s="60">
        <f>+C2*C13+C3*C14+C4*C15+C5*C16+C6*C17+C7*C18+C8*C19</f>
        <v>3675</v>
      </c>
      <c r="D20" s="60">
        <f>+D2*D13+D3*D14+D4*D15+D5*D16+D6*D17+D7*D18+D8*D19</f>
        <v>3675</v>
      </c>
      <c r="E20" s="60">
        <f>+E2*E13+E3*E14+E4*E15+E5*E16+E6*E17+E7*E18+E8*E19</f>
        <v>17718.75</v>
      </c>
      <c r="F20" s="60">
        <f>+F2*F13+F3*F14+F4*F15+F5*F16+F6*F17+F7*F18+F8*F19</f>
        <v>14875</v>
      </c>
      <c r="H20" s="58"/>
    </row>
    <row r="22" spans="1:6" ht="63" customHeight="1">
      <c r="A22" s="244" t="s">
        <v>150</v>
      </c>
      <c r="B22" s="244"/>
      <c r="C22" s="244"/>
      <c r="D22" s="244"/>
      <c r="E22" s="244"/>
      <c r="F22" s="244"/>
    </row>
    <row r="25" ht="14.25">
      <c r="A25" s="53">
        <f>+E9*F13</f>
        <v>17062.5</v>
      </c>
    </row>
    <row r="26" ht="14.25">
      <c r="A26" s="53">
        <f>+E9*E15</f>
        <v>17915.625</v>
      </c>
    </row>
    <row r="27" ht="14.25">
      <c r="A27" s="53">
        <f>+A26-A25</f>
        <v>853.125</v>
      </c>
    </row>
    <row r="28" ht="14.25">
      <c r="A28" s="53">
        <f>+H9*E17</f>
        <v>0</v>
      </c>
    </row>
  </sheetData>
  <sheetProtection/>
  <mergeCells count="1">
    <mergeCell ref="A22:F22"/>
  </mergeCell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2:I26"/>
  <sheetViews>
    <sheetView zoomScalePageLayoutView="0" workbookViewId="0" topLeftCell="A1">
      <selection activeCell="E32" sqref="E32"/>
    </sheetView>
  </sheetViews>
  <sheetFormatPr defaultColWidth="9.140625" defaultRowHeight="15"/>
  <cols>
    <col min="1" max="1" width="41.00390625" style="0" customWidth="1"/>
    <col min="2" max="7" width="11.00390625" style="0" bestFit="1" customWidth="1"/>
    <col min="9" max="9" width="10.00390625" style="0" bestFit="1" customWidth="1"/>
  </cols>
  <sheetData>
    <row r="2" spans="1:7" ht="14.25">
      <c r="A2" s="20" t="s">
        <v>5</v>
      </c>
      <c r="B2" s="20" t="s">
        <v>113</v>
      </c>
      <c r="C2" s="20" t="s">
        <v>83</v>
      </c>
      <c r="D2" s="20" t="s">
        <v>115</v>
      </c>
      <c r="E2" s="20" t="s">
        <v>85</v>
      </c>
      <c r="F2" s="20" t="s">
        <v>86</v>
      </c>
      <c r="G2" s="20" t="s">
        <v>87</v>
      </c>
    </row>
    <row r="3" spans="1:7" ht="14.25">
      <c r="A3" s="23" t="s">
        <v>80</v>
      </c>
      <c r="B3" s="21">
        <v>500</v>
      </c>
      <c r="C3" s="21">
        <v>500</v>
      </c>
      <c r="D3" s="21" t="e">
        <f>+#REF!+#REF!+#REF!</f>
        <v>#REF!</v>
      </c>
      <c r="E3" s="21" t="e">
        <f>+#REF!+#REF!+#REF!</f>
        <v>#REF!</v>
      </c>
      <c r="F3" s="21" t="e">
        <f>#REF!+#REF!+#REF!</f>
        <v>#REF!</v>
      </c>
      <c r="G3" s="21" t="e">
        <f>+#REF!+#REF!+#REF!</f>
        <v>#REF!</v>
      </c>
    </row>
    <row r="4" spans="1:7" ht="14.25">
      <c r="A4" s="23" t="s">
        <v>81</v>
      </c>
      <c r="B4" s="21">
        <v>14000</v>
      </c>
      <c r="C4" s="21">
        <v>14000</v>
      </c>
      <c r="D4" s="21" t="e">
        <f>+#REF!</f>
        <v>#REF!</v>
      </c>
      <c r="E4" s="21">
        <v>17351.71</v>
      </c>
      <c r="F4" s="21" t="e">
        <f>+#REF!</f>
        <v>#REF!</v>
      </c>
      <c r="G4" s="21" t="e">
        <f>+#REF!</f>
        <v>#REF!</v>
      </c>
    </row>
    <row r="5" spans="1:9" ht="14.25">
      <c r="A5" s="23" t="s">
        <v>82</v>
      </c>
      <c r="B5" s="21">
        <v>6000</v>
      </c>
      <c r="C5" s="21">
        <v>6000</v>
      </c>
      <c r="D5" s="21" t="e">
        <f>+#REF!</f>
        <v>#REF!</v>
      </c>
      <c r="E5" s="21">
        <v>5450</v>
      </c>
      <c r="F5" s="21">
        <v>0</v>
      </c>
      <c r="G5" s="21">
        <v>0</v>
      </c>
      <c r="I5" s="3"/>
    </row>
    <row r="6" spans="1:7" ht="14.25">
      <c r="A6" s="23" t="s">
        <v>8</v>
      </c>
      <c r="B6" s="21">
        <v>20000</v>
      </c>
      <c r="C6" s="21">
        <v>20000</v>
      </c>
      <c r="D6" s="21" t="e">
        <f>+#REF!</f>
        <v>#REF!</v>
      </c>
      <c r="E6" s="21">
        <v>36165.64</v>
      </c>
      <c r="F6" s="21">
        <f>843.75+5810.48+483.75+360+687.5</f>
        <v>8185.48</v>
      </c>
      <c r="G6" s="21" t="e">
        <f>+#REF!</f>
        <v>#REF!</v>
      </c>
    </row>
    <row r="7" spans="1:9" ht="14.25">
      <c r="A7" s="23" t="s">
        <v>57</v>
      </c>
      <c r="B7" s="21">
        <v>17500</v>
      </c>
      <c r="C7" s="21">
        <v>17500</v>
      </c>
      <c r="D7" s="21" t="e">
        <f>+#REF!</f>
        <v>#REF!</v>
      </c>
      <c r="E7" s="21">
        <v>14875</v>
      </c>
      <c r="F7" s="21">
        <v>0</v>
      </c>
      <c r="G7" s="21">
        <v>0</v>
      </c>
      <c r="I7" s="3"/>
    </row>
    <row r="8" spans="1:7" ht="14.25">
      <c r="A8" s="23" t="s">
        <v>56</v>
      </c>
      <c r="B8" s="21">
        <v>8000</v>
      </c>
      <c r="C8" s="21">
        <v>8000</v>
      </c>
      <c r="D8" s="21" t="e">
        <f>#REF!+#REF!+#REF!</f>
        <v>#REF!</v>
      </c>
      <c r="E8" s="21" t="e">
        <f>+#REF!+#REF!+#REF!</f>
        <v>#REF!</v>
      </c>
      <c r="F8" s="21" t="e">
        <f>+#REF!+#REF!+#REF!</f>
        <v>#REF!</v>
      </c>
      <c r="G8" s="21" t="e">
        <f>+#REF!+#REF!+#REF!</f>
        <v>#REF!</v>
      </c>
    </row>
    <row r="9" spans="1:7" ht="14.25">
      <c r="A9" s="23" t="s">
        <v>36</v>
      </c>
      <c r="B9" s="21">
        <v>3000</v>
      </c>
      <c r="C9" s="21">
        <v>3000</v>
      </c>
      <c r="D9" s="21">
        <v>0</v>
      </c>
      <c r="E9" s="21">
        <v>0</v>
      </c>
      <c r="F9" s="21">
        <v>0</v>
      </c>
      <c r="G9" s="21">
        <v>0</v>
      </c>
    </row>
    <row r="10" spans="1:7" ht="14.25">
      <c r="A10" s="23" t="s">
        <v>37</v>
      </c>
      <c r="B10" s="21">
        <v>8000</v>
      </c>
      <c r="C10" s="21">
        <v>8000</v>
      </c>
      <c r="D10" s="21" t="e">
        <f>+#REF!</f>
        <v>#REF!</v>
      </c>
      <c r="E10" s="21">
        <v>0</v>
      </c>
      <c r="F10" s="21">
        <v>0</v>
      </c>
      <c r="G10" s="21" t="e">
        <f>+#REF!+#REF!</f>
        <v>#REF!</v>
      </c>
    </row>
    <row r="11" spans="1:7" ht="14.25">
      <c r="A11" s="23" t="s">
        <v>114</v>
      </c>
      <c r="B11" s="21"/>
      <c r="C11" s="21"/>
      <c r="D11" s="21" t="e">
        <f>+#REF!</f>
        <v>#REF!</v>
      </c>
      <c r="E11" s="21"/>
      <c r="F11" s="21"/>
      <c r="G11" s="21"/>
    </row>
    <row r="12" spans="1:7" ht="15" thickBot="1">
      <c r="A12" s="24" t="s">
        <v>77</v>
      </c>
      <c r="B12" s="22">
        <f>SUM(B3:B10)</f>
        <v>77000</v>
      </c>
      <c r="C12" s="22">
        <f>SUM(C3:C10)</f>
        <v>77000</v>
      </c>
      <c r="D12" s="22" t="e">
        <f>SUM(D3:D11)</f>
        <v>#REF!</v>
      </c>
      <c r="E12" s="22" t="e">
        <f>SUM(E3:E10)</f>
        <v>#REF!</v>
      </c>
      <c r="F12" s="22" t="e">
        <f>SUM(F3:F10)</f>
        <v>#REF!</v>
      </c>
      <c r="G12" s="22" t="e">
        <f>SUM(G3:G10)</f>
        <v>#REF!</v>
      </c>
    </row>
    <row r="13" ht="15" thickTop="1">
      <c r="C13" s="6"/>
    </row>
    <row r="14" spans="1:7" ht="15" thickBot="1">
      <c r="A14" s="24" t="s">
        <v>88</v>
      </c>
      <c r="B14" s="24"/>
      <c r="C14" s="22">
        <f>46*2000</f>
        <v>92000</v>
      </c>
      <c r="D14" s="22">
        <f>46*2000</f>
        <v>92000</v>
      </c>
      <c r="E14" s="22" t="e">
        <f>+#REF!+#REF!</f>
        <v>#REF!</v>
      </c>
      <c r="F14" s="22" t="e">
        <f>+#REF!+#REF!</f>
        <v>#REF!</v>
      </c>
      <c r="G14" s="22" t="e">
        <f>+#REF!+#REF!</f>
        <v>#REF!</v>
      </c>
    </row>
    <row r="15" ht="15" thickTop="1">
      <c r="C15" s="6"/>
    </row>
    <row r="16" spans="1:7" ht="15" thickBot="1">
      <c r="A16" s="24" t="s">
        <v>89</v>
      </c>
      <c r="B16" s="24"/>
      <c r="C16" s="22"/>
      <c r="D16" s="22" t="e">
        <f>+D14-D12</f>
        <v>#REF!</v>
      </c>
      <c r="E16" s="22" t="e">
        <f>+E14-E12</f>
        <v>#REF!</v>
      </c>
      <c r="F16" s="22" t="e">
        <f>+F14-F12</f>
        <v>#REF!</v>
      </c>
      <c r="G16" s="22" t="e">
        <f>+G14-G12</f>
        <v>#REF!</v>
      </c>
    </row>
    <row r="17" ht="15" thickTop="1"/>
    <row r="18" spans="1:3" ht="14.25">
      <c r="A18" t="s">
        <v>90</v>
      </c>
      <c r="C18" s="6" t="e">
        <f>+E16+F16+G16+D16</f>
        <v>#REF!</v>
      </c>
    </row>
    <row r="20" spans="1:5" ht="14.25">
      <c r="A20" s="20" t="s">
        <v>54</v>
      </c>
      <c r="B20" s="20" t="s">
        <v>113</v>
      </c>
      <c r="C20" s="20" t="s">
        <v>83</v>
      </c>
      <c r="D20" s="20" t="s">
        <v>84</v>
      </c>
      <c r="E20" s="20" t="s">
        <v>109</v>
      </c>
    </row>
    <row r="21" spans="1:6" ht="14.25">
      <c r="A21" t="s">
        <v>53</v>
      </c>
      <c r="B21" s="6">
        <v>25000</v>
      </c>
      <c r="C21" s="6">
        <v>25000</v>
      </c>
      <c r="D21" s="6">
        <v>20000</v>
      </c>
      <c r="E21" s="6"/>
      <c r="F21" s="6"/>
    </row>
    <row r="22" spans="1:6" ht="14.25">
      <c r="A22" t="s">
        <v>52</v>
      </c>
      <c r="B22" s="6">
        <v>15000</v>
      </c>
      <c r="C22" s="6">
        <v>15000</v>
      </c>
      <c r="D22" s="6">
        <v>15000</v>
      </c>
      <c r="E22" s="6">
        <v>20000</v>
      </c>
      <c r="F22" s="6"/>
    </row>
    <row r="23" spans="1:6" ht="14.25">
      <c r="A23" t="s">
        <v>79</v>
      </c>
      <c r="C23" s="6">
        <v>-25000</v>
      </c>
      <c r="D23" s="6"/>
      <c r="E23" s="6">
        <v>25000</v>
      </c>
      <c r="F23" s="6"/>
    </row>
    <row r="24" spans="1:6" ht="15" thickBot="1">
      <c r="A24" s="19"/>
      <c r="B24" s="7">
        <f>SUM(B21:B23)</f>
        <v>40000</v>
      </c>
      <c r="C24" s="7">
        <f>SUM(C21:C23)</f>
        <v>15000</v>
      </c>
      <c r="D24" s="7">
        <f>SUM(D21:D23)</f>
        <v>35000</v>
      </c>
      <c r="E24" s="7">
        <f>SUM(E21:E23)</f>
        <v>45000</v>
      </c>
      <c r="F24" s="6"/>
    </row>
    <row r="25" ht="15" thickTop="1">
      <c r="F25" s="6"/>
    </row>
    <row r="26" spans="1:6" ht="14.25">
      <c r="A26" t="s">
        <v>78</v>
      </c>
      <c r="C26" s="6">
        <f>+C24+D24+E24</f>
        <v>95000</v>
      </c>
      <c r="F26" s="6"/>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L3" sqref="L3"/>
    </sheetView>
  </sheetViews>
  <sheetFormatPr defaultColWidth="9.28125" defaultRowHeight="15"/>
  <cols>
    <col min="1" max="1" width="47.421875" style="145" customWidth="1"/>
    <col min="2" max="8" width="14.421875" style="145" customWidth="1"/>
    <col min="9" max="9" width="14.421875" style="146" customWidth="1"/>
    <col min="10" max="10" width="14.421875" style="145" customWidth="1"/>
    <col min="11" max="16384" width="9.28125" style="145" customWidth="1"/>
  </cols>
  <sheetData>
    <row r="1" ht="15">
      <c r="A1" s="144" t="s">
        <v>0</v>
      </c>
    </row>
    <row r="2" spans="1:10" ht="36" customHeight="1">
      <c r="A2" s="147"/>
      <c r="B2" s="226" t="s">
        <v>221</v>
      </c>
      <c r="C2" s="227"/>
      <c r="D2" s="148"/>
      <c r="E2" s="148"/>
      <c r="F2" s="228" t="s">
        <v>228</v>
      </c>
      <c r="G2" s="229"/>
      <c r="H2" s="230"/>
      <c r="I2" s="149"/>
      <c r="J2" s="149"/>
    </row>
    <row r="3" spans="1:10" ht="16.5" customHeight="1">
      <c r="A3" s="151"/>
      <c r="B3" s="62" t="s">
        <v>264</v>
      </c>
      <c r="C3" s="62" t="s">
        <v>230</v>
      </c>
      <c r="D3" s="62" t="s">
        <v>240</v>
      </c>
      <c r="E3" s="62" t="s">
        <v>229</v>
      </c>
      <c r="F3" s="153" t="s">
        <v>215</v>
      </c>
      <c r="G3" s="154" t="s">
        <v>202</v>
      </c>
      <c r="H3" s="153" t="s">
        <v>180</v>
      </c>
      <c r="I3" s="153" t="s">
        <v>160</v>
      </c>
      <c r="J3" s="153" t="s">
        <v>115</v>
      </c>
    </row>
    <row r="4" spans="1:10" ht="16.5" customHeight="1">
      <c r="A4" s="155"/>
      <c r="B4" s="156"/>
      <c r="C4" s="156"/>
      <c r="D4" s="156"/>
      <c r="E4" s="157"/>
      <c r="F4" s="158"/>
      <c r="G4" s="159"/>
      <c r="H4" s="158"/>
      <c r="I4" s="158"/>
      <c r="J4" s="158"/>
    </row>
    <row r="5" spans="1:10" ht="16.5" customHeight="1">
      <c r="A5" s="155" t="s">
        <v>2</v>
      </c>
      <c r="B5" s="160">
        <f>SUM(B6:B7)</f>
        <v>69000</v>
      </c>
      <c r="C5" s="160">
        <f>SUM(C6:C7)</f>
        <v>69000</v>
      </c>
      <c r="D5" s="160">
        <f>SUM(D6:D7)</f>
        <v>69059.91</v>
      </c>
      <c r="E5" s="160">
        <f>SUM(E6:E7)</f>
        <v>69129.95</v>
      </c>
      <c r="F5" s="161">
        <f>SUM(F6:F7)</f>
        <v>69237.05</v>
      </c>
      <c r="G5" s="162">
        <v>70853.03</v>
      </c>
      <c r="H5" s="161">
        <v>71385.86</v>
      </c>
      <c r="I5" s="161">
        <v>95079.76000000001</v>
      </c>
      <c r="J5" s="161">
        <v>94352.57</v>
      </c>
    </row>
    <row r="6" spans="1:10" ht="16.5" customHeight="1">
      <c r="A6" s="37" t="s">
        <v>188</v>
      </c>
      <c r="B6" s="164">
        <f>46*B35</f>
        <v>69000</v>
      </c>
      <c r="C6" s="164">
        <f>46*C35</f>
        <v>69000</v>
      </c>
      <c r="D6" s="165">
        <f>46*1500</f>
        <v>69000</v>
      </c>
      <c r="E6" s="165">
        <f>46*1500</f>
        <v>69000</v>
      </c>
      <c r="F6" s="166">
        <f>46*1500</f>
        <v>69000</v>
      </c>
      <c r="G6" s="167">
        <v>70500</v>
      </c>
      <c r="H6" s="166">
        <v>67500</v>
      </c>
      <c r="I6" s="166">
        <v>92000</v>
      </c>
      <c r="J6" s="166">
        <v>93800</v>
      </c>
    </row>
    <row r="7" spans="1:10" s="220" customFormat="1" ht="16.5" customHeight="1">
      <c r="A7" s="131" t="s">
        <v>163</v>
      </c>
      <c r="B7" s="219">
        <v>0</v>
      </c>
      <c r="C7" s="219"/>
      <c r="D7" s="181">
        <v>59.91</v>
      </c>
      <c r="E7" s="181">
        <f>61.43+68.52</f>
        <v>129.95</v>
      </c>
      <c r="F7" s="182">
        <f>149.79+87.26</f>
        <v>237.05</v>
      </c>
      <c r="G7" s="183">
        <f>244.69+108.34</f>
        <v>353.03</v>
      </c>
      <c r="H7" s="182">
        <f>3790.85+95.01</f>
        <v>3885.86</v>
      </c>
      <c r="I7" s="182">
        <f>3004.38+75.38</f>
        <v>3079.76</v>
      </c>
      <c r="J7" s="182">
        <f>377.14+175.43</f>
        <v>552.5699999999999</v>
      </c>
    </row>
    <row r="8" spans="1:10" ht="16.5" customHeight="1">
      <c r="A8" s="174"/>
      <c r="B8" s="169"/>
      <c r="C8" s="169"/>
      <c r="D8" s="169"/>
      <c r="E8" s="175"/>
      <c r="F8" s="176"/>
      <c r="G8" s="177"/>
      <c r="H8" s="176"/>
      <c r="I8" s="176"/>
      <c r="J8" s="176"/>
    </row>
    <row r="9" spans="1:10" ht="16.5" customHeight="1">
      <c r="A9" s="155" t="s">
        <v>5</v>
      </c>
      <c r="B9" s="160">
        <f>SUM(B10:B23)</f>
        <v>52621</v>
      </c>
      <c r="C9" s="160">
        <f>SUM(C10:C23)</f>
        <v>49700</v>
      </c>
      <c r="D9" s="160">
        <f>SUM(D10:D23)</f>
        <v>70940.18</v>
      </c>
      <c r="E9" s="160">
        <f>SUM(E10:E23)</f>
        <v>32801.69</v>
      </c>
      <c r="F9" s="161">
        <f>SUM(F10:F23)</f>
        <v>57464</v>
      </c>
      <c r="G9" s="162">
        <v>38143.78</v>
      </c>
      <c r="H9" s="161">
        <v>40561.9</v>
      </c>
      <c r="I9" s="161">
        <v>56135.64</v>
      </c>
      <c r="J9" s="161">
        <v>62033.87</v>
      </c>
    </row>
    <row r="10" spans="1:10" ht="16.5" customHeight="1">
      <c r="A10" s="163" t="s">
        <v>31</v>
      </c>
      <c r="B10" s="165">
        <v>720</v>
      </c>
      <c r="C10" s="165">
        <v>250</v>
      </c>
      <c r="D10" s="165">
        <v>716.75</v>
      </c>
      <c r="E10" s="165">
        <v>231.75</v>
      </c>
      <c r="F10" s="166">
        <v>231.75</v>
      </c>
      <c r="G10" s="167">
        <v>231.75</v>
      </c>
      <c r="H10" s="166">
        <v>198.75</v>
      </c>
      <c r="I10" s="166">
        <v>198.75</v>
      </c>
      <c r="J10" s="166">
        <v>198.75</v>
      </c>
    </row>
    <row r="11" spans="1:10" ht="16.5" customHeight="1">
      <c r="A11" s="33" t="s">
        <v>257</v>
      </c>
      <c r="B11" s="157"/>
      <c r="C11" s="157"/>
      <c r="D11" s="157">
        <v>0</v>
      </c>
      <c r="E11" s="157">
        <v>0</v>
      </c>
      <c r="F11" s="158">
        <v>0</v>
      </c>
      <c r="G11" s="159">
        <v>-1370.34</v>
      </c>
      <c r="H11" s="158">
        <v>464.77</v>
      </c>
      <c r="I11" s="158">
        <v>17796.25</v>
      </c>
      <c r="J11" s="158">
        <v>24894.12</v>
      </c>
    </row>
    <row r="12" spans="1:10" ht="16.5" customHeight="1">
      <c r="A12" s="37" t="s">
        <v>36</v>
      </c>
      <c r="B12" s="165">
        <v>0</v>
      </c>
      <c r="C12" s="165">
        <v>0</v>
      </c>
      <c r="D12" s="165">
        <v>0</v>
      </c>
      <c r="E12" s="165"/>
      <c r="F12" s="166">
        <v>19381.25</v>
      </c>
      <c r="G12" s="167">
        <v>0</v>
      </c>
      <c r="H12" s="166">
        <v>0</v>
      </c>
      <c r="I12" s="166"/>
      <c r="J12" s="166"/>
    </row>
    <row r="13" spans="1:10" ht="16.5" customHeight="1">
      <c r="A13" s="168" t="s">
        <v>55</v>
      </c>
      <c r="B13" s="157">
        <v>8026</v>
      </c>
      <c r="C13" s="157">
        <v>7950</v>
      </c>
      <c r="D13" s="222">
        <v>8026</v>
      </c>
      <c r="E13" s="157">
        <v>7784</v>
      </c>
      <c r="F13" s="158">
        <f>1450+6196</f>
        <v>7646</v>
      </c>
      <c r="G13" s="159">
        <v>7508</v>
      </c>
      <c r="H13" s="158">
        <v>7370</v>
      </c>
      <c r="I13" s="158">
        <v>7232</v>
      </c>
      <c r="J13" s="158">
        <v>7048</v>
      </c>
    </row>
    <row r="14" spans="1:10" ht="16.5" customHeight="1">
      <c r="A14" s="163" t="s">
        <v>231</v>
      </c>
      <c r="B14" s="165">
        <v>10000</v>
      </c>
      <c r="C14" s="165">
        <v>10000</v>
      </c>
      <c r="D14" s="180">
        <f>1.25*9850</f>
        <v>12312.5</v>
      </c>
      <c r="E14" s="165">
        <v>2010.94</v>
      </c>
      <c r="F14" s="166">
        <v>3712.5</v>
      </c>
      <c r="G14" s="167">
        <v>4339.07</v>
      </c>
      <c r="H14" s="166">
        <v>4692.19</v>
      </c>
      <c r="I14" s="166">
        <v>6535.94</v>
      </c>
      <c r="J14" s="166">
        <v>2710.5</v>
      </c>
    </row>
    <row r="15" spans="1:10" ht="16.5" customHeight="1">
      <c r="A15" s="168" t="s">
        <v>131</v>
      </c>
      <c r="B15" s="157">
        <v>18000</v>
      </c>
      <c r="C15" s="157">
        <v>18000</v>
      </c>
      <c r="D15" s="180">
        <f>1.25*11025</f>
        <v>13781.25</v>
      </c>
      <c r="E15" s="157">
        <f>20945-E16-E17</f>
        <v>16537.5</v>
      </c>
      <c r="F15" s="158">
        <f>20757.5-F16-F17</f>
        <v>16537.5</v>
      </c>
      <c r="G15" s="159">
        <v>17456.25</v>
      </c>
      <c r="H15" s="158">
        <v>17456.25</v>
      </c>
      <c r="I15" s="158">
        <v>13781.25</v>
      </c>
      <c r="J15" s="158">
        <v>17718.75</v>
      </c>
    </row>
    <row r="16" spans="1:10" ht="16.5" customHeight="1">
      <c r="A16" s="163" t="s">
        <v>207</v>
      </c>
      <c r="B16" s="165">
        <v>4000</v>
      </c>
      <c r="C16" s="165">
        <v>4000</v>
      </c>
      <c r="D16" s="180">
        <f>1.25*3115</f>
        <v>3893.75</v>
      </c>
      <c r="E16" s="165">
        <f>1.25*3050</f>
        <v>3812.5</v>
      </c>
      <c r="F16" s="166">
        <f>1.25*2900</f>
        <v>3625</v>
      </c>
      <c r="G16" s="167">
        <v>3500</v>
      </c>
      <c r="H16" s="166">
        <v>3500</v>
      </c>
      <c r="I16" s="166">
        <v>3500</v>
      </c>
      <c r="J16" s="166">
        <v>3500</v>
      </c>
    </row>
    <row r="17" spans="1:10" ht="16.5" customHeight="1">
      <c r="A17" s="33" t="s">
        <v>251</v>
      </c>
      <c r="B17" s="157">
        <v>2500</v>
      </c>
      <c r="C17" s="157">
        <v>2500</v>
      </c>
      <c r="D17" s="180">
        <f>1.25*7080</f>
        <v>8850</v>
      </c>
      <c r="E17" s="157">
        <f>1.25*476</f>
        <v>595</v>
      </c>
      <c r="F17" s="158">
        <f>1.25*476</f>
        <v>595</v>
      </c>
      <c r="G17" s="159"/>
      <c r="H17" s="158"/>
      <c r="I17" s="158"/>
      <c r="J17" s="158"/>
    </row>
    <row r="18" spans="1:10" ht="16.5" customHeight="1">
      <c r="A18" s="37" t="s">
        <v>250</v>
      </c>
      <c r="B18" s="165">
        <v>500</v>
      </c>
      <c r="C18" s="165">
        <v>500</v>
      </c>
      <c r="D18" s="180">
        <v>500</v>
      </c>
      <c r="E18" s="165">
        <v>280</v>
      </c>
      <c r="F18" s="166">
        <v>335</v>
      </c>
      <c r="G18" s="167">
        <v>440</v>
      </c>
      <c r="H18" s="166">
        <v>683.15</v>
      </c>
      <c r="I18" s="166">
        <v>440</v>
      </c>
      <c r="J18" s="166">
        <v>845</v>
      </c>
    </row>
    <row r="19" spans="1:10" ht="16.5" customHeight="1">
      <c r="A19" s="33" t="s">
        <v>261</v>
      </c>
      <c r="B19" s="157">
        <v>7500</v>
      </c>
      <c r="C19" s="157">
        <v>5500</v>
      </c>
      <c r="D19" s="180">
        <v>6965.43</v>
      </c>
      <c r="E19" s="157">
        <v>3200</v>
      </c>
      <c r="F19" s="158">
        <v>4400</v>
      </c>
      <c r="G19" s="159">
        <v>5039.05</v>
      </c>
      <c r="H19" s="158">
        <v>5187.79</v>
      </c>
      <c r="I19" s="158">
        <v>5651.45</v>
      </c>
      <c r="J19" s="158">
        <v>3000</v>
      </c>
    </row>
    <row r="20" spans="1:10" ht="16.5" customHeight="1">
      <c r="A20" s="37" t="s">
        <v>260</v>
      </c>
      <c r="B20" s="165"/>
      <c r="C20" s="165"/>
      <c r="D20" s="180">
        <v>14519.5</v>
      </c>
      <c r="E20" s="165"/>
      <c r="F20" s="166"/>
      <c r="G20" s="167"/>
      <c r="H20" s="166"/>
      <c r="I20" s="166">
        <v>0</v>
      </c>
      <c r="J20" s="166">
        <v>0</v>
      </c>
    </row>
    <row r="21" spans="1:10" ht="16.5" customHeight="1">
      <c r="A21" s="168" t="s">
        <v>11</v>
      </c>
      <c r="B21" s="157">
        <v>1375</v>
      </c>
      <c r="C21" s="157">
        <v>1000</v>
      </c>
      <c r="D21" s="180">
        <v>1375</v>
      </c>
      <c r="E21" s="157">
        <v>1000</v>
      </c>
      <c r="F21" s="158">
        <v>1000</v>
      </c>
      <c r="G21" s="159">
        <v>1000</v>
      </c>
      <c r="H21" s="158">
        <v>1009</v>
      </c>
      <c r="I21" s="158">
        <v>1000</v>
      </c>
      <c r="J21" s="158">
        <v>25</v>
      </c>
    </row>
    <row r="22" spans="1:10" ht="16.5" customHeight="1">
      <c r="A22" s="163" t="s">
        <v>209</v>
      </c>
      <c r="B22" s="165"/>
      <c r="C22" s="165"/>
      <c r="D22" s="165"/>
      <c r="E22" s="165"/>
      <c r="F22" s="166"/>
      <c r="G22" s="167"/>
      <c r="H22" s="166"/>
      <c r="I22" s="166"/>
      <c r="J22" s="166">
        <v>2093.75</v>
      </c>
    </row>
    <row r="23" spans="1:10" ht="27" customHeight="1">
      <c r="A23" s="179"/>
      <c r="B23" s="180"/>
      <c r="C23" s="180"/>
      <c r="D23" s="180"/>
      <c r="E23" s="181">
        <v>-2650</v>
      </c>
      <c r="F23" s="182"/>
      <c r="G23" s="183"/>
      <c r="H23" s="182"/>
      <c r="I23" s="182">
        <v>0</v>
      </c>
      <c r="J23" s="182">
        <v>0</v>
      </c>
    </row>
    <row r="24" spans="1:10" ht="16.5" customHeight="1">
      <c r="A24" s="174"/>
      <c r="B24" s="185"/>
      <c r="C24" s="185"/>
      <c r="D24" s="185"/>
      <c r="E24" s="175"/>
      <c r="F24" s="176"/>
      <c r="G24" s="177"/>
      <c r="H24" s="176"/>
      <c r="I24" s="176"/>
      <c r="J24" s="176"/>
    </row>
    <row r="25" spans="1:10" ht="16.5" customHeight="1">
      <c r="A25" s="186" t="s">
        <v>13</v>
      </c>
      <c r="B25" s="187">
        <f>+B5-B9</f>
        <v>16379</v>
      </c>
      <c r="C25" s="187">
        <f>+C5-C9</f>
        <v>19300</v>
      </c>
      <c r="D25" s="187">
        <f>+D5-D9</f>
        <v>-1880.2699999999895</v>
      </c>
      <c r="E25" s="187">
        <f>+E5-E9</f>
        <v>36328.259999999995</v>
      </c>
      <c r="F25" s="188">
        <f>+F5-F9</f>
        <v>11773.050000000003</v>
      </c>
      <c r="G25" s="189">
        <v>32709.25</v>
      </c>
      <c r="H25" s="188">
        <v>30823.96</v>
      </c>
      <c r="I25" s="188">
        <v>38944.12000000001</v>
      </c>
      <c r="J25" s="188">
        <v>32318.7</v>
      </c>
    </row>
    <row r="26" spans="1:10" ht="12.75">
      <c r="A26" s="174"/>
      <c r="B26" s="185"/>
      <c r="C26" s="185"/>
      <c r="D26" s="185"/>
      <c r="E26" s="175"/>
      <c r="F26" s="176"/>
      <c r="G26" s="177"/>
      <c r="H26" s="176"/>
      <c r="I26" s="176"/>
      <c r="J26" s="176"/>
    </row>
    <row r="27" spans="1:10" ht="12.75">
      <c r="A27" s="155" t="s">
        <v>119</v>
      </c>
      <c r="B27" s="160">
        <f>SUM(B28:B29)</f>
        <v>0</v>
      </c>
      <c r="C27" s="160">
        <f>SUM(C28:C29)</f>
        <v>0</v>
      </c>
      <c r="D27" s="160">
        <f>SUM(D28:D29)</f>
        <v>0</v>
      </c>
      <c r="E27" s="160">
        <f>SUM(E28:E29)</f>
        <v>35000</v>
      </c>
      <c r="F27" s="161">
        <f>SUM(F28:F29)</f>
        <v>15000</v>
      </c>
      <c r="G27" s="162">
        <v>25000</v>
      </c>
      <c r="H27" s="161">
        <v>25000</v>
      </c>
      <c r="I27" s="161">
        <v>60000</v>
      </c>
      <c r="J27" s="161">
        <v>40000</v>
      </c>
    </row>
    <row r="28" spans="1:10" ht="16.5" customHeight="1">
      <c r="A28" s="163" t="s">
        <v>236</v>
      </c>
      <c r="B28" s="190">
        <v>0</v>
      </c>
      <c r="C28" s="190">
        <v>0</v>
      </c>
      <c r="D28" s="190"/>
      <c r="E28" s="190">
        <v>35000</v>
      </c>
      <c r="F28" s="191">
        <v>15000</v>
      </c>
      <c r="G28" s="178">
        <v>25000</v>
      </c>
      <c r="H28" s="191">
        <v>90000</v>
      </c>
      <c r="I28" s="191">
        <v>45000</v>
      </c>
      <c r="J28" s="191">
        <v>25000</v>
      </c>
    </row>
    <row r="29" spans="1:10" ht="16.5" customHeight="1">
      <c r="A29" s="168" t="s">
        <v>52</v>
      </c>
      <c r="B29" s="169"/>
      <c r="C29" s="169"/>
      <c r="D29" s="169"/>
      <c r="E29" s="169">
        <v>0</v>
      </c>
      <c r="F29" s="192">
        <v>0</v>
      </c>
      <c r="G29" s="193">
        <v>0</v>
      </c>
      <c r="H29" s="192">
        <v>-65000</v>
      </c>
      <c r="I29" s="192">
        <v>15000</v>
      </c>
      <c r="J29" s="192">
        <v>15000</v>
      </c>
    </row>
    <row r="30" spans="1:10" ht="16.5" customHeight="1">
      <c r="A30" s="194"/>
      <c r="B30" s="185"/>
      <c r="C30" s="185"/>
      <c r="D30" s="185"/>
      <c r="E30" s="175"/>
      <c r="F30" s="176"/>
      <c r="G30" s="177"/>
      <c r="H30" s="176"/>
      <c r="I30" s="176"/>
      <c r="J30" s="176"/>
    </row>
    <row r="31" spans="1:10" ht="16.5" customHeight="1">
      <c r="A31" s="195" t="s">
        <v>122</v>
      </c>
      <c r="B31" s="160">
        <f>+F31+B25</f>
        <v>325777.03</v>
      </c>
      <c r="C31" s="160">
        <f>+F31+C25</f>
        <v>328698.03</v>
      </c>
      <c r="D31" s="160">
        <f>+D25+E31</f>
        <v>343846.02</v>
      </c>
      <c r="E31" s="160">
        <f>+E25+F31</f>
        <v>345726.29000000004</v>
      </c>
      <c r="F31" s="161">
        <f>+F25+G31</f>
        <v>309398.03</v>
      </c>
      <c r="G31" s="162">
        <v>297624.98000000004</v>
      </c>
      <c r="H31" s="161">
        <v>264915.73000000004</v>
      </c>
      <c r="I31" s="161">
        <v>234091.77000000002</v>
      </c>
      <c r="J31" s="161">
        <v>195147.65</v>
      </c>
    </row>
    <row r="32" spans="1:10" ht="16.5" customHeight="1">
      <c r="A32" s="196" t="s">
        <v>238</v>
      </c>
      <c r="B32" s="165">
        <f>+D32-B28+B25</f>
        <v>105225.02000000002</v>
      </c>
      <c r="C32" s="165">
        <f>+F32-C28+C25</f>
        <v>108698.03000000003</v>
      </c>
      <c r="D32" s="165">
        <f aca="true" t="shared" si="0" ref="D32:J32">+D31-D33</f>
        <v>88846.02000000002</v>
      </c>
      <c r="E32" s="165">
        <f t="shared" si="0"/>
        <v>90726.29000000004</v>
      </c>
      <c r="F32" s="166">
        <f t="shared" si="0"/>
        <v>89398.03000000003</v>
      </c>
      <c r="G32" s="167">
        <f t="shared" si="0"/>
        <v>92624.98000000004</v>
      </c>
      <c r="H32" s="166">
        <f t="shared" si="0"/>
        <v>84915.73000000004</v>
      </c>
      <c r="I32" s="166">
        <f t="shared" si="0"/>
        <v>79091.77000000002</v>
      </c>
      <c r="J32" s="166">
        <f t="shared" si="0"/>
        <v>100147.65</v>
      </c>
    </row>
    <row r="33" spans="1:10" ht="16.5" customHeight="1">
      <c r="A33" s="197" t="s">
        <v>166</v>
      </c>
      <c r="B33" s="198">
        <f>+E33+B28</f>
        <v>255000</v>
      </c>
      <c r="C33" s="198">
        <f>+F33+C28</f>
        <v>220000</v>
      </c>
      <c r="D33" s="198">
        <f>+E33+0</f>
        <v>255000</v>
      </c>
      <c r="E33" s="198">
        <f>+F33+35000</f>
        <v>255000</v>
      </c>
      <c r="F33" s="199">
        <v>220000</v>
      </c>
      <c r="G33" s="200">
        <v>205000</v>
      </c>
      <c r="H33" s="199">
        <v>180000</v>
      </c>
      <c r="I33" s="199">
        <v>155000</v>
      </c>
      <c r="J33" s="199">
        <v>95000</v>
      </c>
    </row>
    <row r="34" spans="1:10" ht="16.5" customHeight="1">
      <c r="A34" s="174"/>
      <c r="B34" s="185"/>
      <c r="C34" s="185"/>
      <c r="D34" s="185"/>
      <c r="E34" s="175"/>
      <c r="F34" s="176"/>
      <c r="G34" s="177"/>
      <c r="H34" s="176"/>
      <c r="I34" s="176"/>
      <c r="J34" s="176"/>
    </row>
    <row r="35" spans="1:10" ht="16.5" customHeight="1">
      <c r="A35" s="155" t="s">
        <v>134</v>
      </c>
      <c r="B35" s="160">
        <v>1500</v>
      </c>
      <c r="C35" s="160">
        <v>1500</v>
      </c>
      <c r="D35" s="160">
        <v>1500</v>
      </c>
      <c r="E35" s="160">
        <v>1500</v>
      </c>
      <c r="F35" s="161">
        <v>1500</v>
      </c>
      <c r="G35" s="162">
        <v>1500</v>
      </c>
      <c r="H35" s="161">
        <v>1500</v>
      </c>
      <c r="I35" s="161">
        <v>2000</v>
      </c>
      <c r="J35" s="161">
        <v>2000</v>
      </c>
    </row>
    <row r="36" spans="1:10" ht="9.75" customHeight="1">
      <c r="A36" s="203"/>
      <c r="B36" s="204"/>
      <c r="C36" s="204"/>
      <c r="D36" s="204"/>
      <c r="E36" s="198"/>
      <c r="F36" s="199"/>
      <c r="G36" s="200"/>
      <c r="H36" s="199"/>
      <c r="I36" s="199"/>
      <c r="J36" s="199"/>
    </row>
    <row r="37" spans="1:10" ht="21.75" customHeight="1">
      <c r="A37" s="231" t="s">
        <v>259</v>
      </c>
      <c r="B37" s="232"/>
      <c r="C37" s="232"/>
      <c r="D37" s="232"/>
      <c r="E37" s="232"/>
      <c r="F37" s="232"/>
      <c r="G37" s="232"/>
      <c r="H37" s="232"/>
      <c r="I37" s="232"/>
      <c r="J37" s="232"/>
    </row>
    <row r="38" spans="1:10" ht="39" customHeight="1">
      <c r="A38" s="231" t="s">
        <v>263</v>
      </c>
      <c r="B38" s="232"/>
      <c r="C38" s="232"/>
      <c r="D38" s="232"/>
      <c r="E38" s="232"/>
      <c r="F38" s="232"/>
      <c r="G38" s="232"/>
      <c r="H38" s="232"/>
      <c r="I38" s="232"/>
      <c r="J38" s="232"/>
    </row>
    <row r="39" spans="1:10" ht="21.75" customHeight="1">
      <c r="A39" s="225" t="s">
        <v>258</v>
      </c>
      <c r="B39" s="2"/>
      <c r="C39" s="2"/>
      <c r="D39" s="2"/>
      <c r="E39" s="2"/>
      <c r="F39" s="2"/>
      <c r="G39" s="2"/>
      <c r="H39" s="2"/>
      <c r="I39" s="2"/>
      <c r="J39" s="2"/>
    </row>
    <row r="40" spans="1:10" ht="26.25" customHeight="1">
      <c r="A40" s="232" t="s">
        <v>239</v>
      </c>
      <c r="B40" s="233"/>
      <c r="C40" s="233"/>
      <c r="D40" s="233"/>
      <c r="E40" s="233"/>
      <c r="F40" s="233"/>
      <c r="G40" s="233"/>
      <c r="H40" s="233"/>
      <c r="I40" s="233"/>
      <c r="J40" s="233"/>
    </row>
    <row r="41" spans="1:10" ht="34.5" customHeight="1">
      <c r="A41" s="225" t="s">
        <v>262</v>
      </c>
      <c r="B41" s="206"/>
      <c r="C41" s="206"/>
      <c r="D41" s="206"/>
      <c r="E41" s="206"/>
      <c r="F41" s="206"/>
      <c r="G41" s="206"/>
      <c r="H41" s="206"/>
      <c r="I41" s="207"/>
      <c r="J41" s="206"/>
    </row>
    <row r="42" spans="1:7" ht="15" customHeight="1">
      <c r="A42" s="208" t="s">
        <v>210</v>
      </c>
      <c r="B42" s="208"/>
      <c r="C42" s="209">
        <v>700000</v>
      </c>
      <c r="D42" s="209"/>
      <c r="E42" s="209"/>
      <c r="F42" s="209"/>
      <c r="G42" s="210"/>
    </row>
    <row r="43" spans="1:7" ht="15" customHeight="1">
      <c r="A43" s="211" t="s">
        <v>226</v>
      </c>
      <c r="B43" s="208"/>
      <c r="C43" s="209"/>
      <c r="D43" s="209"/>
      <c r="E43" s="209"/>
      <c r="F43" s="209">
        <f>1.2*C42</f>
        <v>840000</v>
      </c>
      <c r="G43" s="210"/>
    </row>
    <row r="44" spans="1:6" ht="15" customHeight="1">
      <c r="A44" s="212"/>
      <c r="B44" s="212"/>
      <c r="C44" s="212">
        <v>2017</v>
      </c>
      <c r="D44" s="212"/>
      <c r="E44" s="212"/>
      <c r="F44" s="212">
        <v>2018</v>
      </c>
    </row>
    <row r="45" spans="1:7" ht="15" customHeight="1">
      <c r="A45" s="213" t="s">
        <v>227</v>
      </c>
      <c r="B45" s="213"/>
      <c r="C45" s="214">
        <v>255000</v>
      </c>
      <c r="D45" s="214"/>
      <c r="E45" s="214"/>
      <c r="F45" s="214">
        <f>+C45+B27</f>
        <v>255000</v>
      </c>
      <c r="G45" s="215"/>
    </row>
    <row r="46" spans="1:6" ht="15" customHeight="1">
      <c r="A46" s="213" t="s">
        <v>218</v>
      </c>
      <c r="B46" s="213"/>
      <c r="C46" s="213">
        <f>2035-2018</f>
        <v>17</v>
      </c>
      <c r="D46" s="213"/>
      <c r="E46" s="213"/>
      <c r="F46" s="213">
        <f>2035-2018</f>
        <v>17</v>
      </c>
    </row>
    <row r="47" spans="1:6" ht="15" customHeight="1">
      <c r="A47" s="213" t="s">
        <v>211</v>
      </c>
      <c r="B47" s="213"/>
      <c r="C47" s="216">
        <f>+F43-C45</f>
        <v>585000</v>
      </c>
      <c r="D47" s="216"/>
      <c r="E47" s="216"/>
      <c r="F47" s="216">
        <f>+F43-F45</f>
        <v>585000</v>
      </c>
    </row>
    <row r="48" spans="1:6" ht="15" customHeight="1">
      <c r="A48" s="213" t="s">
        <v>212</v>
      </c>
      <c r="B48" s="213"/>
      <c r="C48" s="216">
        <f>+C47/C46</f>
        <v>34411.76470588235</v>
      </c>
      <c r="D48" s="216"/>
      <c r="E48" s="216"/>
      <c r="F48" s="216">
        <f>+F47/F46</f>
        <v>34411.76470588235</v>
      </c>
    </row>
    <row r="49" spans="1:6" ht="15" customHeight="1">
      <c r="A49" s="217" t="s">
        <v>213</v>
      </c>
      <c r="B49" s="217"/>
      <c r="C49" s="218">
        <f>+C6-C48</f>
        <v>34588.23529411765</v>
      </c>
      <c r="D49" s="218"/>
      <c r="E49" s="218"/>
      <c r="F49" s="218">
        <f>+B6-F48</f>
        <v>34588.23529411765</v>
      </c>
    </row>
    <row r="50" ht="15" customHeight="1"/>
    <row r="51" ht="15" customHeight="1"/>
  </sheetData>
  <sheetProtection password="C709" sheet="1"/>
  <mergeCells count="5">
    <mergeCell ref="B2:C2"/>
    <mergeCell ref="F2:H2"/>
    <mergeCell ref="A37:J37"/>
    <mergeCell ref="A38:J38"/>
    <mergeCell ref="A40:J40"/>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2" r:id="rId1"/>
</worksheet>
</file>

<file path=xl/worksheets/sheet3.xml><?xml version="1.0" encoding="utf-8"?>
<worksheet xmlns="http://schemas.openxmlformats.org/spreadsheetml/2006/main" xmlns:r="http://schemas.openxmlformats.org/officeDocument/2006/relationships">
  <dimension ref="A1:E58"/>
  <sheetViews>
    <sheetView zoomScale="117" zoomScaleNormal="117" zoomScaleSheetLayoutView="100" zoomScalePageLayoutView="0" workbookViewId="0" topLeftCell="A25">
      <selection activeCell="D45" sqref="D45"/>
    </sheetView>
  </sheetViews>
  <sheetFormatPr defaultColWidth="9.28125" defaultRowHeight="15"/>
  <cols>
    <col min="1" max="1" width="44.57421875" style="39" customWidth="1"/>
    <col min="2" max="5" width="14.421875" style="39" customWidth="1"/>
    <col min="6" max="16384" width="9.28125" style="39" customWidth="1"/>
  </cols>
  <sheetData>
    <row r="1" spans="1:5" ht="13.5" customHeight="1">
      <c r="A1" s="40" t="s">
        <v>0</v>
      </c>
      <c r="B1" s="38"/>
      <c r="C1" s="38"/>
      <c r="D1" s="38"/>
      <c r="E1" s="38"/>
    </row>
    <row r="2" spans="1:5" ht="13.5" customHeight="1">
      <c r="A2" s="46" t="s">
        <v>237</v>
      </c>
      <c r="B2" s="38"/>
      <c r="C2" s="38"/>
      <c r="D2" s="38"/>
      <c r="E2" s="38"/>
    </row>
    <row r="3" spans="2:5" ht="13.5" customHeight="1">
      <c r="B3" s="38"/>
      <c r="C3" s="38"/>
      <c r="D3" s="38"/>
      <c r="E3" s="38"/>
    </row>
    <row r="4" spans="1:5" ht="13.5" customHeight="1">
      <c r="A4" s="40"/>
      <c r="B4" s="38"/>
      <c r="C4" s="38"/>
      <c r="D4" s="38"/>
      <c r="E4" s="38"/>
    </row>
    <row r="5" spans="2:5" ht="13.5" customHeight="1">
      <c r="B5" s="38"/>
      <c r="C5" s="38"/>
      <c r="D5" s="38"/>
      <c r="E5" s="38"/>
    </row>
    <row r="6" spans="1:5" ht="13.5" customHeight="1">
      <c r="A6" s="39" t="s">
        <v>2</v>
      </c>
      <c r="B6" s="38"/>
      <c r="C6" s="38"/>
      <c r="D6" s="38"/>
      <c r="E6" s="38"/>
    </row>
    <row r="7" spans="1:5" ht="13.5" customHeight="1">
      <c r="A7" s="39" t="s">
        <v>192</v>
      </c>
      <c r="B7" s="38"/>
      <c r="C7" s="38"/>
      <c r="D7" s="47">
        <f>46*1500</f>
        <v>69000</v>
      </c>
      <c r="E7" s="47"/>
    </row>
    <row r="8" ht="13.5" customHeight="1">
      <c r="D8" s="41"/>
    </row>
    <row r="9" spans="2:5" ht="13.5" customHeight="1">
      <c r="B9" s="38"/>
      <c r="C9" s="38"/>
      <c r="D9" s="38">
        <f>SUM(D7:D8)</f>
        <v>69000</v>
      </c>
      <c r="E9" s="38"/>
    </row>
    <row r="10" spans="2:5" ht="13.5" customHeight="1">
      <c r="B10" s="38"/>
      <c r="C10" s="38"/>
      <c r="D10" s="38"/>
      <c r="E10" s="38"/>
    </row>
    <row r="11" spans="1:5" ht="13.5" customHeight="1">
      <c r="A11" s="39" t="s">
        <v>5</v>
      </c>
      <c r="B11" s="38"/>
      <c r="C11" s="38"/>
      <c r="D11" s="38"/>
      <c r="E11" s="38"/>
    </row>
    <row r="12" spans="1:5" ht="13.5" customHeight="1">
      <c r="A12" s="39" t="s">
        <v>31</v>
      </c>
      <c r="B12" s="38">
        <v>231.75</v>
      </c>
      <c r="C12" s="38"/>
      <c r="D12" s="38"/>
      <c r="E12" s="38"/>
    </row>
    <row r="13" spans="1:5" ht="13.5" customHeight="1">
      <c r="A13" s="39" t="s">
        <v>55</v>
      </c>
      <c r="B13" s="38">
        <v>7784</v>
      </c>
      <c r="C13" s="38"/>
      <c r="D13" s="38"/>
      <c r="E13" s="38"/>
    </row>
    <row r="14" spans="1:5" ht="13.5" customHeight="1">
      <c r="A14" s="39" t="s">
        <v>8</v>
      </c>
      <c r="B14" s="38">
        <v>2010.94</v>
      </c>
      <c r="C14" s="38"/>
      <c r="D14" s="38"/>
      <c r="E14" s="38"/>
    </row>
    <row r="15" spans="1:5" ht="13.5" customHeight="1">
      <c r="A15" s="39" t="s">
        <v>219</v>
      </c>
      <c r="B15" s="38">
        <v>20945</v>
      </c>
      <c r="C15" s="38"/>
      <c r="D15" s="38"/>
      <c r="E15" s="38"/>
    </row>
    <row r="16" spans="1:5" ht="13.5" customHeight="1">
      <c r="A16" s="39" t="s">
        <v>9</v>
      </c>
      <c r="B16" s="38">
        <v>280</v>
      </c>
      <c r="C16" s="38"/>
      <c r="D16" s="38"/>
      <c r="E16" s="38"/>
    </row>
    <row r="17" spans="1:5" ht="13.5" customHeight="1">
      <c r="A17" s="39" t="s">
        <v>185</v>
      </c>
      <c r="B17" s="38">
        <v>3200</v>
      </c>
      <c r="C17" s="38"/>
      <c r="D17" s="38"/>
      <c r="E17" s="38"/>
    </row>
    <row r="18" spans="1:5" ht="13.5" customHeight="1">
      <c r="A18" s="39" t="s">
        <v>11</v>
      </c>
      <c r="B18" s="38">
        <f>+'B2014-16 R2011-15'!D24</f>
        <v>1000</v>
      </c>
      <c r="C18" s="38"/>
      <c r="D18" s="38"/>
      <c r="E18" s="38"/>
    </row>
    <row r="19" spans="1:5" ht="13.5" customHeight="1">
      <c r="A19" s="39" t="s">
        <v>217</v>
      </c>
      <c r="B19" s="41">
        <v>-2650</v>
      </c>
      <c r="C19" s="38"/>
      <c r="D19" s="41">
        <f>SUM(B12:B19)</f>
        <v>32801.69</v>
      </c>
      <c r="E19" s="47"/>
    </row>
    <row r="20" ht="13.5" customHeight="1">
      <c r="C20" s="38"/>
    </row>
    <row r="21" spans="2:5" ht="13.5" customHeight="1">
      <c r="B21" s="38"/>
      <c r="C21" s="38"/>
      <c r="D21" s="38"/>
      <c r="E21" s="38"/>
    </row>
    <row r="22" spans="1:5" ht="13.5" customHeight="1">
      <c r="A22" s="39" t="s">
        <v>13</v>
      </c>
      <c r="B22" s="38"/>
      <c r="C22" s="38"/>
      <c r="D22" s="38">
        <f>D9-D19</f>
        <v>36198.31</v>
      </c>
      <c r="E22" s="38"/>
    </row>
    <row r="23" spans="2:5" ht="13.5" customHeight="1">
      <c r="B23" s="38"/>
      <c r="C23" s="38"/>
      <c r="D23" s="38"/>
      <c r="E23" s="38"/>
    </row>
    <row r="24" spans="1:5" ht="13.5" customHeight="1">
      <c r="A24" s="39" t="s">
        <v>163</v>
      </c>
      <c r="B24" s="38"/>
      <c r="C24" s="38"/>
      <c r="D24" s="41">
        <f>68.52+61.43</f>
        <v>129.95</v>
      </c>
      <c r="E24" s="47"/>
    </row>
    <row r="25" spans="2:5" ht="13.5" customHeight="1">
      <c r="B25" s="38"/>
      <c r="C25" s="38"/>
      <c r="D25" s="38"/>
      <c r="E25" s="38"/>
    </row>
    <row r="26" spans="1:5" ht="13.5" customHeight="1" thickBot="1">
      <c r="A26" s="40" t="s">
        <v>15</v>
      </c>
      <c r="B26" s="42"/>
      <c r="C26" s="42"/>
      <c r="D26" s="43">
        <f>D22+D24</f>
        <v>36328.259999999995</v>
      </c>
      <c r="E26" s="107"/>
    </row>
    <row r="27" spans="1:5" ht="13.5" customHeight="1" thickBot="1">
      <c r="A27" s="44"/>
      <c r="B27" s="45"/>
      <c r="C27" s="45"/>
      <c r="D27" s="45"/>
      <c r="E27" s="45"/>
    </row>
    <row r="28" spans="2:5" ht="13.5" customHeight="1">
      <c r="B28" s="38"/>
      <c r="C28" s="38"/>
      <c r="D28" s="38"/>
      <c r="E28" s="38"/>
    </row>
    <row r="29" spans="1:5" ht="13.5" customHeight="1">
      <c r="A29" s="46" t="s">
        <v>16</v>
      </c>
      <c r="B29" s="38"/>
      <c r="C29" s="38"/>
      <c r="D29" s="38"/>
      <c r="E29" s="38"/>
    </row>
    <row r="30" spans="3:5" ht="13.5" customHeight="1">
      <c r="C30" s="38"/>
      <c r="D30" s="38"/>
      <c r="E30" s="38"/>
    </row>
    <row r="31" spans="1:5" ht="13.5" customHeight="1">
      <c r="A31" s="46" t="s">
        <v>17</v>
      </c>
      <c r="B31" s="38"/>
      <c r="C31" s="38"/>
      <c r="D31" s="38"/>
      <c r="E31" s="38"/>
    </row>
    <row r="32" spans="1:5" ht="13.5" customHeight="1">
      <c r="A32" s="39" t="s">
        <v>127</v>
      </c>
      <c r="B32" s="38"/>
      <c r="C32" s="38"/>
      <c r="D32" s="38">
        <v>117942.23</v>
      </c>
      <c r="E32" s="38"/>
    </row>
    <row r="33" spans="1:5" ht="13.5" customHeight="1">
      <c r="A33" s="39" t="s">
        <v>126</v>
      </c>
      <c r="B33" s="38"/>
      <c r="C33" s="38"/>
      <c r="D33" s="38">
        <v>102497.09</v>
      </c>
      <c r="E33" s="38"/>
    </row>
    <row r="34" spans="1:5" ht="13.5" customHeight="1">
      <c r="A34" s="39" t="s">
        <v>162</v>
      </c>
      <c r="B34" s="38"/>
      <c r="C34" s="38"/>
      <c r="D34" s="38">
        <v>125286.97</v>
      </c>
      <c r="E34" s="38"/>
    </row>
    <row r="35" spans="2:5" ht="13.5" customHeight="1">
      <c r="B35" s="38"/>
      <c r="C35" s="38"/>
      <c r="D35" s="38"/>
      <c r="E35" s="38"/>
    </row>
    <row r="36" spans="1:5" ht="13.5" customHeight="1" thickBot="1">
      <c r="A36" s="40" t="s">
        <v>19</v>
      </c>
      <c r="B36" s="42"/>
      <c r="C36" s="42"/>
      <c r="D36" s="43">
        <f>+D32+D33+D34</f>
        <v>345726.29000000004</v>
      </c>
      <c r="E36" s="107"/>
    </row>
    <row r="37" spans="2:5" ht="13.5" customHeight="1">
      <c r="B37" s="38"/>
      <c r="C37" s="38"/>
      <c r="D37" s="38"/>
      <c r="E37" s="38"/>
    </row>
    <row r="38" spans="1:5" ht="13.5" customHeight="1">
      <c r="A38" s="46" t="s">
        <v>20</v>
      </c>
      <c r="B38" s="38"/>
      <c r="C38" s="38"/>
      <c r="D38" s="38"/>
      <c r="E38" s="38"/>
    </row>
    <row r="39" spans="2:5" ht="13.5" customHeight="1">
      <c r="B39" s="38"/>
      <c r="C39" s="38"/>
      <c r="D39" s="38"/>
      <c r="E39" s="38"/>
    </row>
    <row r="40" spans="1:5" ht="13.5" customHeight="1">
      <c r="A40" s="39" t="s">
        <v>22</v>
      </c>
      <c r="B40" s="38"/>
      <c r="C40" s="38"/>
      <c r="D40" s="38"/>
      <c r="E40" s="38"/>
    </row>
    <row r="41" spans="1:5" ht="13.5" customHeight="1">
      <c r="A41" s="39" t="s">
        <v>23</v>
      </c>
      <c r="B41" s="38">
        <f>+Regnskab2015_16!D43</f>
        <v>89398.02999999998</v>
      </c>
      <c r="C41" s="38"/>
      <c r="D41" s="38"/>
      <c r="E41" s="38"/>
    </row>
    <row r="42" spans="1:5" ht="13.5" customHeight="1">
      <c r="A42" s="39" t="s">
        <v>128</v>
      </c>
      <c r="B42" s="38">
        <v>-35000</v>
      </c>
      <c r="C42" s="38"/>
      <c r="D42" s="38"/>
      <c r="E42" s="38"/>
    </row>
    <row r="43" spans="1:5" ht="13.5" customHeight="1">
      <c r="A43" s="39" t="s">
        <v>13</v>
      </c>
      <c r="B43" s="41">
        <f>+D26</f>
        <v>36328.259999999995</v>
      </c>
      <c r="C43" s="47"/>
      <c r="D43" s="47">
        <f>SUM(B41:B43)</f>
        <v>90726.28999999998</v>
      </c>
      <c r="E43" s="47"/>
    </row>
    <row r="44" spans="2:5" ht="13.5" customHeight="1">
      <c r="B44" s="47"/>
      <c r="C44" s="47"/>
      <c r="D44" s="47"/>
      <c r="E44" s="47"/>
    </row>
    <row r="45" spans="1:5" ht="13.5" customHeight="1">
      <c r="A45" s="39" t="s">
        <v>193</v>
      </c>
      <c r="B45" s="47"/>
      <c r="C45" s="47"/>
      <c r="D45" s="41">
        <f>+Regnskab2015_16!D45+35000</f>
        <v>255000</v>
      </c>
      <c r="E45" s="47"/>
    </row>
    <row r="46" spans="2:5" ht="13.5" customHeight="1">
      <c r="B46" s="47"/>
      <c r="C46" s="38"/>
      <c r="D46" s="38"/>
      <c r="E46" s="38"/>
    </row>
    <row r="47" spans="1:5" ht="13.5" customHeight="1" thickBot="1">
      <c r="A47" s="40" t="s">
        <v>24</v>
      </c>
      <c r="B47" s="42"/>
      <c r="C47" s="42"/>
      <c r="D47" s="43">
        <f>SUM(D39:D45)</f>
        <v>345726.29</v>
      </c>
      <c r="E47" s="107"/>
    </row>
    <row r="48" spans="2:5" ht="13.5" customHeight="1">
      <c r="B48" s="38"/>
      <c r="C48" s="38"/>
      <c r="D48" s="38"/>
      <c r="E48" s="38"/>
    </row>
    <row r="49" spans="2:5" ht="13.5" customHeight="1">
      <c r="B49" s="38"/>
      <c r="C49" s="38"/>
      <c r="D49" s="38"/>
      <c r="E49" s="38"/>
    </row>
    <row r="50" spans="2:5" ht="13.5" customHeight="1">
      <c r="B50" s="38"/>
      <c r="C50" s="38"/>
      <c r="D50" s="38"/>
      <c r="E50" s="38"/>
    </row>
    <row r="51" spans="2:5" ht="13.5" customHeight="1">
      <c r="B51" s="38"/>
      <c r="C51" s="38"/>
      <c r="D51" s="38"/>
      <c r="E51" s="38"/>
    </row>
    <row r="52" spans="2:5" ht="13.5" customHeight="1">
      <c r="B52" s="38"/>
      <c r="C52" s="38"/>
      <c r="D52" s="38"/>
      <c r="E52" s="38"/>
    </row>
    <row r="53" spans="1:5" ht="13.5" customHeight="1">
      <c r="A53" s="39" t="s">
        <v>164</v>
      </c>
      <c r="B53" s="38"/>
      <c r="C53" s="39" t="s">
        <v>165</v>
      </c>
      <c r="D53" s="38"/>
      <c r="E53" s="38"/>
    </row>
    <row r="54" spans="2:5" ht="13.5" customHeight="1">
      <c r="B54" s="38"/>
      <c r="D54" s="38"/>
      <c r="E54" s="38"/>
    </row>
    <row r="55" spans="1:5" ht="13.5" customHeight="1">
      <c r="A55" s="48"/>
      <c r="B55" s="38"/>
      <c r="C55" s="48"/>
      <c r="D55" s="41"/>
      <c r="E55" s="41"/>
    </row>
    <row r="56" spans="1:5" ht="13.5" customHeight="1">
      <c r="A56" s="39" t="s">
        <v>35</v>
      </c>
      <c r="B56" s="38"/>
      <c r="C56" s="39" t="s">
        <v>27</v>
      </c>
      <c r="D56" s="38"/>
      <c r="E56" s="38"/>
    </row>
    <row r="57" spans="2:5" ht="13.5" customHeight="1">
      <c r="B57" s="38"/>
      <c r="D57" s="38"/>
      <c r="E57" s="38"/>
    </row>
    <row r="58" ht="13.5" customHeight="1">
      <c r="B58" s="38"/>
    </row>
    <row r="59" ht="13.5" customHeight="1"/>
    <row r="60" ht="13.5" customHeight="1"/>
  </sheetData>
  <sheetProtection/>
  <printOptions/>
  <pageMargins left="0.7" right="0.7" top="0.75" bottom="0.75" header="0.3" footer="0.3"/>
  <pageSetup horizontalDpi="600" verticalDpi="600" orientation="portrait" paperSize="9" scale="85" r:id="rId1"/>
  <rowBreaks count="1" manualBreakCount="1">
    <brk id="6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9">
      <selection activeCell="D17" sqref="D17"/>
    </sheetView>
  </sheetViews>
  <sheetFormatPr defaultColWidth="9.28125" defaultRowHeight="15"/>
  <cols>
    <col min="1" max="1" width="47.421875" style="145" customWidth="1"/>
    <col min="2" max="7" width="14.421875" style="145" customWidth="1"/>
    <col min="8" max="8" width="14.421875" style="146" customWidth="1"/>
    <col min="9" max="10" width="14.421875" style="145" customWidth="1"/>
    <col min="11" max="16384" width="9.28125" style="145" customWidth="1"/>
  </cols>
  <sheetData>
    <row r="1" ht="15">
      <c r="A1" s="144" t="s">
        <v>0</v>
      </c>
    </row>
    <row r="2" spans="1:10" ht="36" customHeight="1">
      <c r="A2" s="147"/>
      <c r="B2" s="226" t="s">
        <v>221</v>
      </c>
      <c r="C2" s="227"/>
      <c r="D2" s="148"/>
      <c r="E2" s="228" t="s">
        <v>228</v>
      </c>
      <c r="F2" s="229"/>
      <c r="G2" s="230"/>
      <c r="H2" s="149"/>
      <c r="I2" s="149"/>
      <c r="J2" s="150"/>
    </row>
    <row r="3" spans="1:10" ht="16.5" customHeight="1">
      <c r="A3" s="151"/>
      <c r="B3" s="152" t="s">
        <v>230</v>
      </c>
      <c r="C3" s="152" t="s">
        <v>214</v>
      </c>
      <c r="D3" s="152" t="s">
        <v>229</v>
      </c>
      <c r="E3" s="152" t="s">
        <v>215</v>
      </c>
      <c r="F3" s="153" t="s">
        <v>202</v>
      </c>
      <c r="G3" s="154" t="s">
        <v>180</v>
      </c>
      <c r="H3" s="153" t="s">
        <v>160</v>
      </c>
      <c r="I3" s="153" t="s">
        <v>115</v>
      </c>
      <c r="J3" s="154" t="s">
        <v>85</v>
      </c>
    </row>
    <row r="4" spans="1:10" ht="16.5" customHeight="1">
      <c r="A4" s="155"/>
      <c r="B4" s="156"/>
      <c r="C4" s="156"/>
      <c r="D4" s="157"/>
      <c r="E4" s="157"/>
      <c r="F4" s="158"/>
      <c r="G4" s="159"/>
      <c r="H4" s="158"/>
      <c r="I4" s="158"/>
      <c r="J4" s="159"/>
    </row>
    <row r="5" spans="1:10" ht="16.5" customHeight="1">
      <c r="A5" s="155" t="s">
        <v>2</v>
      </c>
      <c r="B5" s="160">
        <f>SUM(B6:B8)</f>
        <v>69300</v>
      </c>
      <c r="C5" s="160">
        <f>SUM(C6:C8)</f>
        <v>69300</v>
      </c>
      <c r="D5" s="160">
        <f>SUM(D6:D8)</f>
        <v>69129.95</v>
      </c>
      <c r="E5" s="160">
        <f>SUM(E6:E8)</f>
        <v>69237.05</v>
      </c>
      <c r="F5" s="161">
        <v>70853.03</v>
      </c>
      <c r="G5" s="162">
        <v>71385.86</v>
      </c>
      <c r="H5" s="161">
        <v>95079.76000000001</v>
      </c>
      <c r="I5" s="161">
        <v>94352.57</v>
      </c>
      <c r="J5" s="162">
        <v>103121.14</v>
      </c>
    </row>
    <row r="6" spans="1:10" ht="16.5" customHeight="1">
      <c r="A6" s="163" t="s">
        <v>188</v>
      </c>
      <c r="B6" s="164">
        <f>(46)*B37</f>
        <v>69000</v>
      </c>
      <c r="C6" s="164">
        <f>46*C37</f>
        <v>69000</v>
      </c>
      <c r="D6" s="165">
        <f>46*1500</f>
        <v>69000</v>
      </c>
      <c r="E6" s="165">
        <f>46*1500</f>
        <v>69000</v>
      </c>
      <c r="F6" s="166">
        <v>70500</v>
      </c>
      <c r="G6" s="167">
        <v>67500</v>
      </c>
      <c r="H6" s="166">
        <v>92000</v>
      </c>
      <c r="I6" s="166">
        <v>93800</v>
      </c>
      <c r="J6" s="167">
        <v>103000</v>
      </c>
    </row>
    <row r="7" spans="1:10" ht="16.5" customHeight="1">
      <c r="A7" s="168" t="s">
        <v>117</v>
      </c>
      <c r="B7" s="169">
        <v>0</v>
      </c>
      <c r="C7" s="169">
        <v>0</v>
      </c>
      <c r="D7" s="157">
        <v>0</v>
      </c>
      <c r="E7" s="157">
        <v>0</v>
      </c>
      <c r="F7" s="158">
        <v>108.34</v>
      </c>
      <c r="G7" s="159">
        <v>95.01</v>
      </c>
      <c r="H7" s="158">
        <v>75.38</v>
      </c>
      <c r="I7" s="158">
        <v>175.43</v>
      </c>
      <c r="J7" s="159">
        <v>121.14</v>
      </c>
    </row>
    <row r="8" spans="1:10" ht="16.5" customHeight="1">
      <c r="A8" s="163" t="s">
        <v>189</v>
      </c>
      <c r="B8" s="170">
        <v>300</v>
      </c>
      <c r="C8" s="170">
        <v>300</v>
      </c>
      <c r="D8" s="171">
        <f>61.43+68.52</f>
        <v>129.95</v>
      </c>
      <c r="E8" s="171">
        <f>149.79+87.26</f>
        <v>237.05</v>
      </c>
      <c r="F8" s="172">
        <v>244.69</v>
      </c>
      <c r="G8" s="173">
        <v>3790.85</v>
      </c>
      <c r="H8" s="172">
        <v>3004.38</v>
      </c>
      <c r="I8" s="172">
        <v>377.14</v>
      </c>
      <c r="J8" s="173"/>
    </row>
    <row r="9" spans="1:10" ht="16.5" customHeight="1">
      <c r="A9" s="174"/>
      <c r="B9" s="169"/>
      <c r="C9" s="169"/>
      <c r="D9" s="175"/>
      <c r="E9" s="175"/>
      <c r="F9" s="176"/>
      <c r="G9" s="177"/>
      <c r="H9" s="176"/>
      <c r="I9" s="176"/>
      <c r="J9" s="177"/>
    </row>
    <row r="10" spans="1:10" ht="16.5" customHeight="1">
      <c r="A10" s="155" t="s">
        <v>5</v>
      </c>
      <c r="B10" s="160">
        <f>SUM(B11:B24)</f>
        <v>56900</v>
      </c>
      <c r="C10" s="160">
        <f>SUM(C11:C24)</f>
        <v>51400</v>
      </c>
      <c r="D10" s="160">
        <f>SUM(D11:D24)</f>
        <v>32801.69</v>
      </c>
      <c r="E10" s="160">
        <f>SUM(E11:E24)</f>
        <v>57464</v>
      </c>
      <c r="F10" s="161">
        <v>38143.78</v>
      </c>
      <c r="G10" s="162">
        <v>40561.9</v>
      </c>
      <c r="H10" s="161">
        <v>56135.64</v>
      </c>
      <c r="I10" s="161">
        <v>62033.87</v>
      </c>
      <c r="J10" s="162">
        <v>82323.1</v>
      </c>
    </row>
    <row r="11" spans="1:10" ht="16.5" customHeight="1">
      <c r="A11" s="163" t="s">
        <v>31</v>
      </c>
      <c r="B11" s="165">
        <v>250</v>
      </c>
      <c r="C11" s="165">
        <v>250</v>
      </c>
      <c r="D11" s="165">
        <v>231.75</v>
      </c>
      <c r="E11" s="165">
        <v>231.75</v>
      </c>
      <c r="F11" s="166">
        <v>231.75</v>
      </c>
      <c r="G11" s="167">
        <v>198.75</v>
      </c>
      <c r="H11" s="166">
        <v>198.75</v>
      </c>
      <c r="I11" s="166">
        <v>198.75</v>
      </c>
      <c r="J11" s="167">
        <v>198.75</v>
      </c>
    </row>
    <row r="12" spans="1:10" ht="16.5" customHeight="1">
      <c r="A12" s="168" t="s">
        <v>233</v>
      </c>
      <c r="B12" s="157"/>
      <c r="C12" s="157"/>
      <c r="D12" s="157">
        <v>0</v>
      </c>
      <c r="E12" s="157">
        <v>0</v>
      </c>
      <c r="F12" s="158">
        <v>-1370.34</v>
      </c>
      <c r="G12" s="159">
        <v>464.77</v>
      </c>
      <c r="H12" s="158">
        <v>17796.25</v>
      </c>
      <c r="I12" s="158">
        <v>24894.12</v>
      </c>
      <c r="J12" s="159">
        <v>17351.71</v>
      </c>
    </row>
    <row r="13" spans="1:10" ht="16.5" customHeight="1">
      <c r="A13" s="163" t="s">
        <v>234</v>
      </c>
      <c r="B13" s="165">
        <v>10000</v>
      </c>
      <c r="C13" s="165">
        <v>10000</v>
      </c>
      <c r="D13" s="165"/>
      <c r="E13" s="165">
        <v>19381.25</v>
      </c>
      <c r="F13" s="166">
        <v>0</v>
      </c>
      <c r="G13" s="167">
        <v>0</v>
      </c>
      <c r="H13" s="166"/>
      <c r="I13" s="166"/>
      <c r="J13" s="178"/>
    </row>
    <row r="14" spans="1:10" ht="16.5" customHeight="1">
      <c r="A14" s="168" t="s">
        <v>55</v>
      </c>
      <c r="B14" s="157">
        <v>7850</v>
      </c>
      <c r="C14" s="157">
        <v>7850</v>
      </c>
      <c r="D14" s="157">
        <v>7784</v>
      </c>
      <c r="E14" s="157">
        <f>1450+6196</f>
        <v>7646</v>
      </c>
      <c r="F14" s="158">
        <v>7508</v>
      </c>
      <c r="G14" s="159">
        <v>7370</v>
      </c>
      <c r="H14" s="158">
        <v>7232</v>
      </c>
      <c r="I14" s="158">
        <v>7048</v>
      </c>
      <c r="J14" s="159">
        <v>5450</v>
      </c>
    </row>
    <row r="15" spans="1:10" ht="16.5" customHeight="1">
      <c r="A15" s="163" t="s">
        <v>231</v>
      </c>
      <c r="B15" s="165">
        <v>10000</v>
      </c>
      <c r="C15" s="165">
        <v>10000</v>
      </c>
      <c r="D15" s="165">
        <v>2010.94</v>
      </c>
      <c r="E15" s="165">
        <v>3712.5</v>
      </c>
      <c r="F15" s="166">
        <v>4339.07</v>
      </c>
      <c r="G15" s="167">
        <v>4692.19</v>
      </c>
      <c r="H15" s="166">
        <v>6535.94</v>
      </c>
      <c r="I15" s="166">
        <v>2710.5</v>
      </c>
      <c r="J15" s="167">
        <v>36165.64</v>
      </c>
    </row>
    <row r="16" spans="1:10" ht="16.5" customHeight="1">
      <c r="A16" s="168" t="s">
        <v>131</v>
      </c>
      <c r="B16" s="157">
        <v>18000</v>
      </c>
      <c r="C16" s="157">
        <v>18000</v>
      </c>
      <c r="D16" s="157">
        <f>20945-D17-D18</f>
        <v>16537.5</v>
      </c>
      <c r="E16" s="157">
        <f>20757.5-E17-E18</f>
        <v>16537.5</v>
      </c>
      <c r="F16" s="158">
        <v>17456.25</v>
      </c>
      <c r="G16" s="159">
        <v>17456.25</v>
      </c>
      <c r="H16" s="158">
        <v>13781.25</v>
      </c>
      <c r="I16" s="158">
        <v>17718.75</v>
      </c>
      <c r="J16" s="159">
        <v>14875</v>
      </c>
    </row>
    <row r="17" spans="1:10" ht="16.5" customHeight="1">
      <c r="A17" s="163" t="s">
        <v>207</v>
      </c>
      <c r="B17" s="165">
        <v>3700</v>
      </c>
      <c r="C17" s="165">
        <v>3700</v>
      </c>
      <c r="D17" s="165">
        <f>1.25*3050</f>
        <v>3812.5</v>
      </c>
      <c r="E17" s="165">
        <f>1.25*2900</f>
        <v>3625</v>
      </c>
      <c r="F17" s="166">
        <v>3500</v>
      </c>
      <c r="G17" s="167">
        <v>3500</v>
      </c>
      <c r="H17" s="166">
        <v>3500</v>
      </c>
      <c r="I17" s="166">
        <v>3500</v>
      </c>
      <c r="J17" s="167"/>
    </row>
    <row r="18" spans="1:10" ht="16.5" customHeight="1">
      <c r="A18" s="168" t="s">
        <v>232</v>
      </c>
      <c r="B18" s="157"/>
      <c r="C18" s="157"/>
      <c r="D18" s="157">
        <f>1.25*476</f>
        <v>595</v>
      </c>
      <c r="E18" s="157">
        <f>1.25*476</f>
        <v>595</v>
      </c>
      <c r="F18" s="158"/>
      <c r="G18" s="159"/>
      <c r="H18" s="158"/>
      <c r="I18" s="158"/>
      <c r="J18" s="159"/>
    </row>
    <row r="19" spans="1:10" ht="16.5" customHeight="1">
      <c r="A19" s="163" t="s">
        <v>9</v>
      </c>
      <c r="B19" s="165">
        <v>500</v>
      </c>
      <c r="C19" s="165">
        <v>500</v>
      </c>
      <c r="D19" s="165">
        <v>280</v>
      </c>
      <c r="E19" s="165">
        <v>335</v>
      </c>
      <c r="F19" s="166">
        <v>440</v>
      </c>
      <c r="G19" s="167">
        <v>683.15</v>
      </c>
      <c r="H19" s="166">
        <v>440</v>
      </c>
      <c r="I19" s="166">
        <v>845</v>
      </c>
      <c r="J19" s="178">
        <v>2450</v>
      </c>
    </row>
    <row r="20" spans="1:10" ht="16.5" customHeight="1">
      <c r="A20" s="168" t="s">
        <v>235</v>
      </c>
      <c r="B20" s="157">
        <v>5500</v>
      </c>
      <c r="C20" s="157">
        <v>5000</v>
      </c>
      <c r="D20" s="157">
        <v>3200</v>
      </c>
      <c r="E20" s="157">
        <v>4400</v>
      </c>
      <c r="F20" s="158">
        <v>5039.05</v>
      </c>
      <c r="G20" s="159">
        <v>5187.79</v>
      </c>
      <c r="H20" s="158">
        <v>5651.45</v>
      </c>
      <c r="I20" s="158">
        <v>3000</v>
      </c>
      <c r="J20" s="159">
        <v>5050</v>
      </c>
    </row>
    <row r="21" spans="1:10" ht="16.5" customHeight="1">
      <c r="A21" s="163" t="s">
        <v>196</v>
      </c>
      <c r="B21" s="165"/>
      <c r="C21" s="165"/>
      <c r="D21" s="165"/>
      <c r="E21" s="165"/>
      <c r="F21" s="166"/>
      <c r="G21" s="167"/>
      <c r="H21" s="166">
        <v>0</v>
      </c>
      <c r="I21" s="166">
        <v>0</v>
      </c>
      <c r="J21" s="167">
        <v>629</v>
      </c>
    </row>
    <row r="22" spans="1:10" ht="16.5" customHeight="1">
      <c r="A22" s="168" t="s">
        <v>11</v>
      </c>
      <c r="B22" s="157">
        <v>1100</v>
      </c>
      <c r="C22" s="157">
        <v>1100</v>
      </c>
      <c r="D22" s="157">
        <v>1000</v>
      </c>
      <c r="E22" s="157">
        <v>1000</v>
      </c>
      <c r="F22" s="158">
        <v>1000</v>
      </c>
      <c r="G22" s="159">
        <v>1009</v>
      </c>
      <c r="H22" s="158">
        <v>1000</v>
      </c>
      <c r="I22" s="158">
        <v>25</v>
      </c>
      <c r="J22" s="159">
        <v>153</v>
      </c>
    </row>
    <row r="23" spans="1:10" ht="16.5" customHeight="1">
      <c r="A23" s="163" t="s">
        <v>209</v>
      </c>
      <c r="B23" s="165"/>
      <c r="C23" s="165"/>
      <c r="D23" s="165"/>
      <c r="E23" s="165"/>
      <c r="F23" s="166"/>
      <c r="G23" s="167"/>
      <c r="H23" s="166"/>
      <c r="I23" s="166">
        <v>2093.75</v>
      </c>
      <c r="J23" s="167"/>
    </row>
    <row r="24" spans="1:10" ht="27" customHeight="1">
      <c r="A24" s="179" t="s">
        <v>220</v>
      </c>
      <c r="B24" s="180"/>
      <c r="C24" s="180">
        <v>-5000</v>
      </c>
      <c r="D24" s="181">
        <v>-2650</v>
      </c>
      <c r="E24" s="181"/>
      <c r="F24" s="182"/>
      <c r="G24" s="183"/>
      <c r="H24" s="182">
        <v>0</v>
      </c>
      <c r="I24" s="182">
        <v>0</v>
      </c>
      <c r="J24" s="184">
        <v>0</v>
      </c>
    </row>
    <row r="25" spans="1:10" ht="16.5" customHeight="1">
      <c r="A25" s="174"/>
      <c r="B25" s="185"/>
      <c r="C25" s="185"/>
      <c r="D25" s="175"/>
      <c r="E25" s="175"/>
      <c r="F25" s="176"/>
      <c r="G25" s="177"/>
      <c r="H25" s="176"/>
      <c r="I25" s="176"/>
      <c r="J25" s="177"/>
    </row>
    <row r="26" spans="1:10" ht="16.5" customHeight="1">
      <c r="A26" s="186" t="s">
        <v>13</v>
      </c>
      <c r="B26" s="187">
        <f>+B5-B10</f>
        <v>12400</v>
      </c>
      <c r="C26" s="187">
        <f>+C5-C10</f>
        <v>17900</v>
      </c>
      <c r="D26" s="187">
        <f>+D5-D10</f>
        <v>36328.259999999995</v>
      </c>
      <c r="E26" s="187">
        <f>+E5-E10</f>
        <v>11773.050000000003</v>
      </c>
      <c r="F26" s="188">
        <v>32709.25</v>
      </c>
      <c r="G26" s="189">
        <v>30823.96</v>
      </c>
      <c r="H26" s="188">
        <v>38944.12000000001</v>
      </c>
      <c r="I26" s="188">
        <v>32318.7</v>
      </c>
      <c r="J26" s="189">
        <v>20798.04</v>
      </c>
    </row>
    <row r="27" spans="1:10" ht="16.5" customHeight="1">
      <c r="A27" s="174"/>
      <c r="B27" s="185"/>
      <c r="C27" s="185"/>
      <c r="D27" s="175"/>
      <c r="E27" s="175"/>
      <c r="F27" s="176"/>
      <c r="G27" s="177"/>
      <c r="H27" s="176"/>
      <c r="I27" s="176"/>
      <c r="J27" s="177"/>
    </row>
    <row r="28" spans="1:10" ht="16.5" customHeight="1">
      <c r="A28" s="155" t="s">
        <v>119</v>
      </c>
      <c r="B28" s="160">
        <f>SUM(B29:B30)</f>
        <v>35000</v>
      </c>
      <c r="C28" s="160">
        <f>SUM(C29:C30)</f>
        <v>35000</v>
      </c>
      <c r="D28" s="160">
        <f>SUM(D29:D30)</f>
        <v>15000</v>
      </c>
      <c r="E28" s="160">
        <f>SUM(E29:E30)</f>
        <v>15000</v>
      </c>
      <c r="F28" s="161">
        <v>25000</v>
      </c>
      <c r="G28" s="162">
        <v>25000</v>
      </c>
      <c r="H28" s="161">
        <v>60000</v>
      </c>
      <c r="I28" s="161">
        <v>40000</v>
      </c>
      <c r="J28" s="162">
        <v>35000</v>
      </c>
    </row>
    <row r="29" spans="1:10" ht="16.5" customHeight="1">
      <c r="A29" s="163" t="s">
        <v>236</v>
      </c>
      <c r="B29" s="190">
        <v>35000</v>
      </c>
      <c r="C29" s="190">
        <v>35000</v>
      </c>
      <c r="D29" s="190">
        <v>15000</v>
      </c>
      <c r="E29" s="190">
        <v>15000</v>
      </c>
      <c r="F29" s="191">
        <v>25000</v>
      </c>
      <c r="G29" s="178">
        <v>90000</v>
      </c>
      <c r="H29" s="191">
        <v>45000</v>
      </c>
      <c r="I29" s="191">
        <v>25000</v>
      </c>
      <c r="J29" s="178">
        <v>20000</v>
      </c>
    </row>
    <row r="30" spans="1:10" ht="16.5" customHeight="1">
      <c r="A30" s="168" t="s">
        <v>52</v>
      </c>
      <c r="B30" s="169"/>
      <c r="C30" s="169"/>
      <c r="D30" s="169">
        <v>0</v>
      </c>
      <c r="E30" s="169">
        <v>0</v>
      </c>
      <c r="F30" s="192">
        <v>0</v>
      </c>
      <c r="G30" s="193">
        <v>-65000</v>
      </c>
      <c r="H30" s="192">
        <v>15000</v>
      </c>
      <c r="I30" s="192">
        <v>15000</v>
      </c>
      <c r="J30" s="193">
        <v>15000</v>
      </c>
    </row>
    <row r="31" spans="1:10" ht="16.5" customHeight="1">
      <c r="A31" s="194"/>
      <c r="B31" s="185"/>
      <c r="C31" s="185"/>
      <c r="D31" s="175"/>
      <c r="E31" s="175"/>
      <c r="F31" s="176"/>
      <c r="G31" s="177"/>
      <c r="H31" s="176"/>
      <c r="I31" s="176"/>
      <c r="J31" s="177"/>
    </row>
    <row r="32" spans="1:10" ht="16.5" customHeight="1">
      <c r="A32" s="195" t="s">
        <v>122</v>
      </c>
      <c r="B32" s="160">
        <f>+E32+B26</f>
        <v>321798.03</v>
      </c>
      <c r="C32" s="160">
        <f>+F32+C26</f>
        <v>315524.98000000004</v>
      </c>
      <c r="D32" s="160">
        <f>+D26+E32</f>
        <v>345726.29000000004</v>
      </c>
      <c r="E32" s="160">
        <f>+E26+F32</f>
        <v>309398.03</v>
      </c>
      <c r="F32" s="161">
        <v>297624.98000000004</v>
      </c>
      <c r="G32" s="162">
        <v>264915.73000000004</v>
      </c>
      <c r="H32" s="161">
        <v>234091.77000000002</v>
      </c>
      <c r="I32" s="161">
        <v>195147.65</v>
      </c>
      <c r="J32" s="162">
        <v>162828.95</v>
      </c>
    </row>
    <row r="33" spans="1:10" ht="16.5" customHeight="1">
      <c r="A33" s="196" t="s">
        <v>120</v>
      </c>
      <c r="B33" s="165">
        <f>+E33-B29+B26</f>
        <v>59143.92</v>
      </c>
      <c r="C33" s="165">
        <f>+F33-C29+C26</f>
        <v>68107.92</v>
      </c>
      <c r="D33" s="165">
        <v>117942.23</v>
      </c>
      <c r="E33" s="165">
        <v>81743.92</v>
      </c>
      <c r="F33" s="166">
        <v>85207.92</v>
      </c>
      <c r="G33" s="167">
        <v>77743.36</v>
      </c>
      <c r="H33" s="166">
        <v>75710.25000000001</v>
      </c>
      <c r="I33" s="166">
        <v>99770.51</v>
      </c>
      <c r="J33" s="167">
        <v>162828.95</v>
      </c>
    </row>
    <row r="34" spans="1:10" ht="16.5" customHeight="1">
      <c r="A34" s="196" t="s">
        <v>197</v>
      </c>
      <c r="B34" s="165">
        <f>+E34+B8</f>
        <v>102735.66</v>
      </c>
      <c r="C34" s="165">
        <f>+F34+C8</f>
        <v>102585.87</v>
      </c>
      <c r="D34" s="165">
        <v>102497.09</v>
      </c>
      <c r="E34" s="165">
        <v>102435.66</v>
      </c>
      <c r="F34" s="166">
        <v>102285.87</v>
      </c>
      <c r="G34" s="167">
        <v>102124.29</v>
      </c>
      <c r="H34" s="166">
        <v>98381.52</v>
      </c>
      <c r="I34" s="166">
        <v>95377.14</v>
      </c>
      <c r="J34" s="167"/>
    </row>
    <row r="35" spans="1:10" ht="16.5" customHeight="1">
      <c r="A35" s="197" t="s">
        <v>166</v>
      </c>
      <c r="B35" s="198">
        <f>+E35+B29</f>
        <v>160218.45</v>
      </c>
      <c r="C35" s="198">
        <f>+F35+C29</f>
        <v>145131.19</v>
      </c>
      <c r="D35" s="198">
        <v>125286.97</v>
      </c>
      <c r="E35" s="198">
        <v>125218.45</v>
      </c>
      <c r="F35" s="199">
        <v>110131.19</v>
      </c>
      <c r="G35" s="200">
        <v>85048.08</v>
      </c>
      <c r="H35" s="199">
        <v>60000</v>
      </c>
      <c r="I35" s="199"/>
      <c r="J35" s="200"/>
    </row>
    <row r="36" spans="1:10" ht="16.5" customHeight="1">
      <c r="A36" s="174"/>
      <c r="B36" s="185"/>
      <c r="C36" s="201"/>
      <c r="D36" s="175"/>
      <c r="E36" s="175"/>
      <c r="F36" s="176"/>
      <c r="G36" s="177"/>
      <c r="H36" s="176"/>
      <c r="I36" s="176"/>
      <c r="J36" s="177"/>
    </row>
    <row r="37" spans="1:10" ht="16.5" customHeight="1">
      <c r="A37" s="155" t="s">
        <v>134</v>
      </c>
      <c r="B37" s="160">
        <v>1500</v>
      </c>
      <c r="C37" s="202">
        <v>1500</v>
      </c>
      <c r="D37" s="160">
        <v>1500</v>
      </c>
      <c r="E37" s="160">
        <v>1500</v>
      </c>
      <c r="F37" s="161">
        <v>1500</v>
      </c>
      <c r="G37" s="162">
        <v>1500</v>
      </c>
      <c r="H37" s="161">
        <v>2000</v>
      </c>
      <c r="I37" s="161">
        <v>2000</v>
      </c>
      <c r="J37" s="162">
        <v>2000</v>
      </c>
    </row>
    <row r="38" spans="1:10" ht="9.75" customHeight="1">
      <c r="A38" s="203"/>
      <c r="B38" s="204"/>
      <c r="C38" s="205"/>
      <c r="D38" s="198"/>
      <c r="E38" s="198"/>
      <c r="F38" s="199"/>
      <c r="G38" s="200"/>
      <c r="H38" s="199"/>
      <c r="I38" s="199"/>
      <c r="J38" s="200"/>
    </row>
    <row r="39" spans="1:10" ht="21.75" customHeight="1">
      <c r="A39" s="232" t="s">
        <v>224</v>
      </c>
      <c r="B39" s="232"/>
      <c r="C39" s="232"/>
      <c r="D39" s="232"/>
      <c r="E39" s="232"/>
      <c r="F39" s="232"/>
      <c r="G39" s="232"/>
      <c r="H39" s="232"/>
      <c r="I39" s="232"/>
      <c r="J39" s="232"/>
    </row>
    <row r="40" spans="1:10" ht="39" customHeight="1">
      <c r="A40" s="232" t="s">
        <v>222</v>
      </c>
      <c r="B40" s="232"/>
      <c r="C40" s="232"/>
      <c r="D40" s="232"/>
      <c r="E40" s="232"/>
      <c r="F40" s="232"/>
      <c r="G40" s="232"/>
      <c r="H40" s="232"/>
      <c r="I40" s="232"/>
      <c r="J40" s="232"/>
    </row>
    <row r="41" spans="1:10" ht="21.75" customHeight="1">
      <c r="A41" s="206" t="s">
        <v>223</v>
      </c>
      <c r="B41" s="2"/>
      <c r="C41" s="2"/>
      <c r="D41" s="2"/>
      <c r="E41" s="2"/>
      <c r="F41" s="2"/>
      <c r="G41" s="2"/>
      <c r="H41" s="2"/>
      <c r="I41" s="2"/>
      <c r="J41" s="2"/>
    </row>
    <row r="42" spans="1:10" ht="26.25" customHeight="1">
      <c r="A42" s="232" t="s">
        <v>225</v>
      </c>
      <c r="B42" s="233"/>
      <c r="C42" s="233"/>
      <c r="D42" s="233"/>
      <c r="E42" s="233"/>
      <c r="F42" s="233"/>
      <c r="G42" s="233"/>
      <c r="H42" s="233"/>
      <c r="I42" s="233"/>
      <c r="J42" s="233"/>
    </row>
    <row r="43" spans="1:10" ht="12.75">
      <c r="A43" s="206"/>
      <c r="B43" s="206"/>
      <c r="C43" s="206"/>
      <c r="D43" s="206"/>
      <c r="E43" s="206"/>
      <c r="F43" s="206"/>
      <c r="G43" s="206"/>
      <c r="H43" s="207"/>
      <c r="I43" s="206"/>
      <c r="J43" s="206"/>
    </row>
    <row r="44" spans="1:6" ht="15" customHeight="1">
      <c r="A44" s="208" t="s">
        <v>210</v>
      </c>
      <c r="B44" s="208"/>
      <c r="C44" s="209">
        <v>700000</v>
      </c>
      <c r="D44" s="209"/>
      <c r="E44" s="209"/>
      <c r="F44" s="210"/>
    </row>
    <row r="45" spans="1:6" ht="15" customHeight="1">
      <c r="A45" s="211" t="s">
        <v>226</v>
      </c>
      <c r="B45" s="208"/>
      <c r="C45" s="209"/>
      <c r="D45" s="209"/>
      <c r="E45" s="209">
        <f>1.2*C44</f>
        <v>840000</v>
      </c>
      <c r="F45" s="210"/>
    </row>
    <row r="46" spans="1:5" ht="15" customHeight="1">
      <c r="A46" s="212"/>
      <c r="B46" s="212"/>
      <c r="C46" s="212">
        <v>2016</v>
      </c>
      <c r="D46" s="212"/>
      <c r="E46" s="212">
        <v>2017</v>
      </c>
    </row>
    <row r="47" spans="1:6" ht="15" customHeight="1">
      <c r="A47" s="213" t="s">
        <v>227</v>
      </c>
      <c r="B47" s="213"/>
      <c r="C47" s="214">
        <f>+'B2014-16 R2011-15'!C45+E29</f>
        <v>220000</v>
      </c>
      <c r="D47" s="214"/>
      <c r="E47" s="214">
        <f>+C47+B28</f>
        <v>255000</v>
      </c>
      <c r="F47" s="215"/>
    </row>
    <row r="48" spans="1:5" ht="15" customHeight="1">
      <c r="A48" s="213" t="s">
        <v>218</v>
      </c>
      <c r="B48" s="213"/>
      <c r="C48" s="213">
        <f>2035-2016</f>
        <v>19</v>
      </c>
      <c r="D48" s="213"/>
      <c r="E48" s="213">
        <f>2035-2017</f>
        <v>18</v>
      </c>
    </row>
    <row r="49" spans="1:5" ht="15" customHeight="1">
      <c r="A49" s="213" t="s">
        <v>211</v>
      </c>
      <c r="B49" s="213"/>
      <c r="C49" s="216">
        <f>+C44-C47</f>
        <v>480000</v>
      </c>
      <c r="D49" s="216"/>
      <c r="E49" s="216">
        <f>+E45-E47</f>
        <v>585000</v>
      </c>
    </row>
    <row r="50" spans="1:5" ht="15" customHeight="1">
      <c r="A50" s="213" t="s">
        <v>212</v>
      </c>
      <c r="B50" s="213"/>
      <c r="C50" s="216">
        <f>+C49/C48</f>
        <v>25263.157894736843</v>
      </c>
      <c r="D50" s="216"/>
      <c r="E50" s="216">
        <f>+E49/E48</f>
        <v>32500</v>
      </c>
    </row>
    <row r="51" spans="1:5" ht="15" customHeight="1">
      <c r="A51" s="217" t="s">
        <v>213</v>
      </c>
      <c r="B51" s="217"/>
      <c r="C51" s="218">
        <f>+C6-C50</f>
        <v>43736.84210526316</v>
      </c>
      <c r="D51" s="218"/>
      <c r="E51" s="218">
        <f>+B6-E50</f>
        <v>36500</v>
      </c>
    </row>
    <row r="52" ht="15" customHeight="1"/>
    <row r="53" ht="15" customHeight="1"/>
  </sheetData>
  <sheetProtection/>
  <mergeCells count="5">
    <mergeCell ref="B2:C2"/>
    <mergeCell ref="E2:G2"/>
    <mergeCell ref="A39:J39"/>
    <mergeCell ref="A40:J40"/>
    <mergeCell ref="A42:J4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E58"/>
  <sheetViews>
    <sheetView zoomScale="117" zoomScaleNormal="117" zoomScaleSheetLayoutView="100" zoomScalePageLayoutView="0" workbookViewId="0" topLeftCell="A28">
      <selection activeCell="D43" sqref="D43"/>
    </sheetView>
  </sheetViews>
  <sheetFormatPr defaultColWidth="9.28125" defaultRowHeight="15"/>
  <cols>
    <col min="1" max="1" width="44.57421875" style="39" customWidth="1"/>
    <col min="2" max="5" width="14.421875" style="39" customWidth="1"/>
    <col min="6" max="16384" width="9.28125" style="39" customWidth="1"/>
  </cols>
  <sheetData>
    <row r="1" spans="1:5" ht="13.5" customHeight="1">
      <c r="A1" s="40" t="s">
        <v>0</v>
      </c>
      <c r="B1" s="38"/>
      <c r="C1" s="38"/>
      <c r="D1" s="38"/>
      <c r="E1" s="38"/>
    </row>
    <row r="2" spans="1:5" ht="13.5" customHeight="1">
      <c r="A2" s="46" t="s">
        <v>216</v>
      </c>
      <c r="B2" s="38"/>
      <c r="C2" s="38"/>
      <c r="D2" s="38"/>
      <c r="E2" s="38"/>
    </row>
    <row r="3" spans="2:5" ht="13.5" customHeight="1">
      <c r="B3" s="38"/>
      <c r="C3" s="38"/>
      <c r="D3" s="38"/>
      <c r="E3" s="38"/>
    </row>
    <row r="4" spans="1:5" ht="13.5" customHeight="1">
      <c r="A4" s="40"/>
      <c r="B4" s="38"/>
      <c r="C4" s="38"/>
      <c r="D4" s="38"/>
      <c r="E4" s="38"/>
    </row>
    <row r="5" spans="2:5" ht="13.5" customHeight="1">
      <c r="B5" s="38"/>
      <c r="C5" s="38"/>
      <c r="D5" s="38"/>
      <c r="E5" s="38"/>
    </row>
    <row r="6" spans="1:5" ht="13.5" customHeight="1">
      <c r="A6" s="39" t="s">
        <v>2</v>
      </c>
      <c r="B6" s="38"/>
      <c r="C6" s="38"/>
      <c r="D6" s="38"/>
      <c r="E6" s="38"/>
    </row>
    <row r="7" spans="1:5" ht="13.5" customHeight="1">
      <c r="A7" s="39" t="s">
        <v>192</v>
      </c>
      <c r="B7" s="38"/>
      <c r="C7" s="38"/>
      <c r="D7" s="47">
        <f>46*1500</f>
        <v>69000</v>
      </c>
      <c r="E7" s="47"/>
    </row>
    <row r="8" ht="13.5" customHeight="1">
      <c r="D8" s="41"/>
    </row>
    <row r="9" spans="2:5" ht="13.5" customHeight="1">
      <c r="B9" s="38"/>
      <c r="C9" s="38"/>
      <c r="D9" s="38">
        <f>SUM(D7:D8)</f>
        <v>69000</v>
      </c>
      <c r="E9" s="38"/>
    </row>
    <row r="10" spans="2:5" ht="13.5" customHeight="1">
      <c r="B10" s="38"/>
      <c r="C10" s="38"/>
      <c r="D10" s="38"/>
      <c r="E10" s="38"/>
    </row>
    <row r="11" spans="1:5" ht="13.5" customHeight="1">
      <c r="A11" s="39" t="s">
        <v>5</v>
      </c>
      <c r="B11" s="38"/>
      <c r="C11" s="38"/>
      <c r="D11" s="38"/>
      <c r="E11" s="38"/>
    </row>
    <row r="12" spans="1:5" ht="13.5" customHeight="1">
      <c r="A12" s="39" t="s">
        <v>31</v>
      </c>
      <c r="B12" s="38">
        <v>231.75</v>
      </c>
      <c r="C12" s="38"/>
      <c r="D12" s="38"/>
      <c r="E12" s="38"/>
    </row>
    <row r="13" spans="1:5" ht="13.5" customHeight="1">
      <c r="A13" s="39" t="s">
        <v>55</v>
      </c>
      <c r="B13" s="38">
        <f>1450+6196</f>
        <v>7646</v>
      </c>
      <c r="C13" s="38"/>
      <c r="D13" s="38"/>
      <c r="E13" s="38"/>
    </row>
    <row r="14" spans="1:5" ht="13.5" customHeight="1">
      <c r="A14" s="39" t="s">
        <v>8</v>
      </c>
      <c r="B14" s="38">
        <v>3712.5</v>
      </c>
      <c r="C14" s="38"/>
      <c r="D14" s="38"/>
      <c r="E14" s="38"/>
    </row>
    <row r="15" spans="1:5" ht="13.5" customHeight="1">
      <c r="A15" s="39" t="s">
        <v>219</v>
      </c>
      <c r="B15" s="38">
        <v>20757.5</v>
      </c>
      <c r="C15" s="38"/>
      <c r="D15" s="38"/>
      <c r="E15" s="38"/>
    </row>
    <row r="16" spans="1:5" ht="13.5" customHeight="1">
      <c r="A16" s="39" t="s">
        <v>9</v>
      </c>
      <c r="B16" s="38">
        <v>335</v>
      </c>
      <c r="C16" s="38"/>
      <c r="D16" s="38"/>
      <c r="E16" s="38"/>
    </row>
    <row r="17" spans="1:5" ht="13.5" customHeight="1">
      <c r="A17" s="39" t="s">
        <v>185</v>
      </c>
      <c r="B17" s="38">
        <v>4400</v>
      </c>
      <c r="C17" s="38"/>
      <c r="D17" s="38"/>
      <c r="E17" s="38"/>
    </row>
    <row r="18" spans="1:5" ht="13.5" customHeight="1">
      <c r="A18" s="39" t="s">
        <v>11</v>
      </c>
      <c r="B18" s="38">
        <f>+'B2014-16 R2011-15'!D24</f>
        <v>1000</v>
      </c>
      <c r="C18" s="38"/>
      <c r="D18" s="38"/>
      <c r="E18" s="38"/>
    </row>
    <row r="19" spans="1:5" ht="13.5" customHeight="1">
      <c r="A19" s="39" t="s">
        <v>217</v>
      </c>
      <c r="B19" s="41">
        <v>19381.25</v>
      </c>
      <c r="C19" s="38"/>
      <c r="D19" s="41">
        <f>SUM(B12:B19)</f>
        <v>57464</v>
      </c>
      <c r="E19" s="47"/>
    </row>
    <row r="20" ht="13.5" customHeight="1">
      <c r="C20" s="38"/>
    </row>
    <row r="21" spans="2:5" ht="13.5" customHeight="1">
      <c r="B21" s="38"/>
      <c r="C21" s="38"/>
      <c r="D21" s="38"/>
      <c r="E21" s="38"/>
    </row>
    <row r="22" spans="1:5" ht="13.5" customHeight="1">
      <c r="A22" s="39" t="s">
        <v>13</v>
      </c>
      <c r="B22" s="38"/>
      <c r="C22" s="38"/>
      <c r="D22" s="38">
        <f>D9-D19</f>
        <v>11536</v>
      </c>
      <c r="E22" s="38"/>
    </row>
    <row r="23" spans="2:5" ht="13.5" customHeight="1">
      <c r="B23" s="38"/>
      <c r="C23" s="38"/>
      <c r="D23" s="38"/>
      <c r="E23" s="38"/>
    </row>
    <row r="24" spans="1:5" ht="13.5" customHeight="1">
      <c r="A24" s="39" t="s">
        <v>163</v>
      </c>
      <c r="B24" s="38"/>
      <c r="C24" s="38"/>
      <c r="D24" s="41">
        <f>149.79+87.26</f>
        <v>237.05</v>
      </c>
      <c r="E24" s="47"/>
    </row>
    <row r="25" spans="2:5" ht="13.5" customHeight="1">
      <c r="B25" s="38"/>
      <c r="C25" s="38"/>
      <c r="D25" s="38"/>
      <c r="E25" s="38"/>
    </row>
    <row r="26" spans="1:5" ht="13.5" customHeight="1" thickBot="1">
      <c r="A26" s="40" t="s">
        <v>15</v>
      </c>
      <c r="B26" s="42"/>
      <c r="C26" s="42"/>
      <c r="D26" s="43">
        <f>D22+D24</f>
        <v>11773.05</v>
      </c>
      <c r="E26" s="107"/>
    </row>
    <row r="27" spans="1:5" ht="13.5" customHeight="1" thickBot="1">
      <c r="A27" s="44"/>
      <c r="B27" s="45"/>
      <c r="C27" s="45"/>
      <c r="D27" s="45"/>
      <c r="E27" s="45"/>
    </row>
    <row r="28" spans="2:5" ht="13.5" customHeight="1">
      <c r="B28" s="38"/>
      <c r="C28" s="38"/>
      <c r="D28" s="38"/>
      <c r="E28" s="38"/>
    </row>
    <row r="29" spans="1:5" ht="13.5" customHeight="1">
      <c r="A29" s="46" t="s">
        <v>16</v>
      </c>
      <c r="B29" s="38"/>
      <c r="C29" s="38"/>
      <c r="D29" s="38"/>
      <c r="E29" s="38"/>
    </row>
    <row r="30" spans="3:5" ht="13.5" customHeight="1">
      <c r="C30" s="38"/>
      <c r="D30" s="38"/>
      <c r="E30" s="38"/>
    </row>
    <row r="31" spans="1:5" ht="13.5" customHeight="1">
      <c r="A31" s="46" t="s">
        <v>17</v>
      </c>
      <c r="B31" s="38"/>
      <c r="C31" s="38"/>
      <c r="D31" s="38"/>
      <c r="E31" s="38"/>
    </row>
    <row r="32" spans="1:5" ht="13.5" customHeight="1">
      <c r="A32" s="39" t="s">
        <v>127</v>
      </c>
      <c r="B32" s="38"/>
      <c r="C32" s="38"/>
      <c r="D32" s="38">
        <v>81743.92</v>
      </c>
      <c r="E32" s="38"/>
    </row>
    <row r="33" spans="1:5" ht="13.5" customHeight="1">
      <c r="A33" s="39" t="s">
        <v>126</v>
      </c>
      <c r="B33" s="38"/>
      <c r="C33" s="38"/>
      <c r="D33" s="38">
        <v>102435.66</v>
      </c>
      <c r="E33" s="38"/>
    </row>
    <row r="34" spans="1:5" ht="13.5" customHeight="1">
      <c r="A34" s="39" t="s">
        <v>162</v>
      </c>
      <c r="B34" s="38"/>
      <c r="C34" s="38"/>
      <c r="D34" s="38">
        <v>125218.45</v>
      </c>
      <c r="E34" s="38"/>
    </row>
    <row r="35" spans="2:5" ht="13.5" customHeight="1">
      <c r="B35" s="38"/>
      <c r="C35" s="38"/>
      <c r="D35" s="38"/>
      <c r="E35" s="38"/>
    </row>
    <row r="36" spans="1:5" ht="13.5" customHeight="1" thickBot="1">
      <c r="A36" s="40" t="s">
        <v>19</v>
      </c>
      <c r="B36" s="42"/>
      <c r="C36" s="42"/>
      <c r="D36" s="43">
        <f>+D32+D33+D34</f>
        <v>309398.03</v>
      </c>
      <c r="E36" s="107"/>
    </row>
    <row r="37" spans="2:5" ht="13.5" customHeight="1">
      <c r="B37" s="38"/>
      <c r="C37" s="38"/>
      <c r="D37" s="38"/>
      <c r="E37" s="38"/>
    </row>
    <row r="38" spans="1:5" ht="13.5" customHeight="1">
      <c r="A38" s="46" t="s">
        <v>20</v>
      </c>
      <c r="B38" s="38"/>
      <c r="C38" s="38"/>
      <c r="D38" s="38"/>
      <c r="E38" s="38"/>
    </row>
    <row r="39" spans="2:5" ht="13.5" customHeight="1">
      <c r="B39" s="38"/>
      <c r="C39" s="38"/>
      <c r="D39" s="38"/>
      <c r="E39" s="38"/>
    </row>
    <row r="40" spans="1:5" ht="13.5" customHeight="1">
      <c r="A40" s="39" t="s">
        <v>22</v>
      </c>
      <c r="B40" s="38"/>
      <c r="C40" s="38"/>
      <c r="D40" s="38"/>
      <c r="E40" s="38"/>
    </row>
    <row r="41" spans="1:5" ht="13.5" customHeight="1">
      <c r="A41" s="39" t="s">
        <v>23</v>
      </c>
      <c r="B41" s="38">
        <f>+'Regnskab 2014-15'!D46</f>
        <v>92624.97999999998</v>
      </c>
      <c r="C41" s="38"/>
      <c r="D41" s="38"/>
      <c r="E41" s="38"/>
    </row>
    <row r="42" spans="1:5" ht="13.5" customHeight="1">
      <c r="A42" s="39" t="s">
        <v>128</v>
      </c>
      <c r="B42" s="38">
        <v>-15000</v>
      </c>
      <c r="C42" s="38"/>
      <c r="D42" s="38"/>
      <c r="E42" s="38"/>
    </row>
    <row r="43" spans="1:5" ht="13.5" customHeight="1">
      <c r="A43" s="39" t="s">
        <v>13</v>
      </c>
      <c r="B43" s="41">
        <f>+D26</f>
        <v>11773.05</v>
      </c>
      <c r="C43" s="47"/>
      <c r="D43" s="47">
        <f>SUM(B41:B43)</f>
        <v>89398.02999999998</v>
      </c>
      <c r="E43" s="47"/>
    </row>
    <row r="44" spans="2:5" ht="13.5" customHeight="1">
      <c r="B44" s="47"/>
      <c r="C44" s="47"/>
      <c r="D44" s="47"/>
      <c r="E44" s="47"/>
    </row>
    <row r="45" spans="1:5" ht="13.5" customHeight="1">
      <c r="A45" s="39" t="s">
        <v>193</v>
      </c>
      <c r="B45" s="47"/>
      <c r="C45" s="47"/>
      <c r="D45" s="41">
        <f>+'Regnskab 2014-15'!D48+15000</f>
        <v>220000</v>
      </c>
      <c r="E45" s="47"/>
    </row>
    <row r="46" spans="2:5" ht="13.5" customHeight="1">
      <c r="B46" s="47"/>
      <c r="C46" s="38"/>
      <c r="D46" s="38"/>
      <c r="E46" s="38"/>
    </row>
    <row r="47" spans="1:5" ht="13.5" customHeight="1" thickBot="1">
      <c r="A47" s="40" t="s">
        <v>24</v>
      </c>
      <c r="B47" s="42"/>
      <c r="C47" s="42"/>
      <c r="D47" s="43">
        <f>SUM(D39:D45)</f>
        <v>309398.02999999997</v>
      </c>
      <c r="E47" s="107"/>
    </row>
    <row r="48" spans="2:5" ht="13.5" customHeight="1">
      <c r="B48" s="38"/>
      <c r="C48" s="38"/>
      <c r="D48" s="38"/>
      <c r="E48" s="38"/>
    </row>
    <row r="49" spans="2:5" ht="13.5" customHeight="1">
      <c r="B49" s="38"/>
      <c r="C49" s="38"/>
      <c r="D49" s="38"/>
      <c r="E49" s="38"/>
    </row>
    <row r="50" spans="2:5" ht="13.5" customHeight="1">
      <c r="B50" s="38"/>
      <c r="C50" s="38"/>
      <c r="D50" s="38"/>
      <c r="E50" s="38"/>
    </row>
    <row r="51" spans="2:5" ht="13.5" customHeight="1">
      <c r="B51" s="38"/>
      <c r="C51" s="38"/>
      <c r="D51" s="38"/>
      <c r="E51" s="38"/>
    </row>
    <row r="52" spans="2:5" ht="13.5" customHeight="1">
      <c r="B52" s="38"/>
      <c r="C52" s="38"/>
      <c r="D52" s="38"/>
      <c r="E52" s="38"/>
    </row>
    <row r="53" spans="1:5" ht="13.5" customHeight="1">
      <c r="A53" s="39" t="s">
        <v>164</v>
      </c>
      <c r="B53" s="38"/>
      <c r="C53" s="39" t="s">
        <v>165</v>
      </c>
      <c r="D53" s="38"/>
      <c r="E53" s="38"/>
    </row>
    <row r="54" spans="2:5" ht="13.5" customHeight="1">
      <c r="B54" s="38"/>
      <c r="D54" s="38"/>
      <c r="E54" s="38"/>
    </row>
    <row r="55" spans="1:5" ht="13.5" customHeight="1">
      <c r="A55" s="48"/>
      <c r="B55" s="38"/>
      <c r="C55" s="48"/>
      <c r="D55" s="41"/>
      <c r="E55" s="41"/>
    </row>
    <row r="56" spans="1:5" ht="13.5" customHeight="1">
      <c r="A56" s="39" t="s">
        <v>35</v>
      </c>
      <c r="B56" s="38"/>
      <c r="C56" s="39" t="s">
        <v>27</v>
      </c>
      <c r="D56" s="38"/>
      <c r="E56" s="38"/>
    </row>
    <row r="57" spans="2:5" ht="13.5" customHeight="1">
      <c r="B57" s="38"/>
      <c r="D57" s="38"/>
      <c r="E57" s="38"/>
    </row>
    <row r="58" ht="13.5" customHeight="1">
      <c r="B58" s="38"/>
    </row>
    <row r="59" ht="13.5" customHeight="1"/>
    <row r="60" ht="13.5" customHeight="1"/>
  </sheetData>
  <sheetProtection/>
  <printOptions/>
  <pageMargins left="0.7" right="0.7" top="0.75" bottom="0.75" header="0.3" footer="0.3"/>
  <pageSetup horizontalDpi="300" verticalDpi="300" orientation="portrait" paperSize="9" scale="85" r:id="rId1"/>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1:B24"/>
  <sheetViews>
    <sheetView zoomScalePageLayoutView="0" workbookViewId="0" topLeftCell="A8">
      <selection activeCell="E18" sqref="E18"/>
    </sheetView>
  </sheetViews>
  <sheetFormatPr defaultColWidth="9.28125" defaultRowHeight="15"/>
  <cols>
    <col min="1" max="1" width="40.7109375" style="31" bestFit="1" customWidth="1"/>
    <col min="2" max="2" width="21.28125" style="31" customWidth="1"/>
    <col min="3" max="16384" width="9.28125" style="31" customWidth="1"/>
  </cols>
  <sheetData>
    <row r="1" spans="1:2" ht="12.75">
      <c r="A1" s="125" t="s">
        <v>0</v>
      </c>
      <c r="B1" s="126"/>
    </row>
    <row r="2" spans="1:2" ht="16.5" customHeight="1">
      <c r="A2" s="127" t="s">
        <v>201</v>
      </c>
      <c r="B2" s="108" t="s">
        <v>190</v>
      </c>
    </row>
    <row r="3" spans="1:2" ht="16.5" customHeight="1">
      <c r="A3" s="128"/>
      <c r="B3" s="129"/>
    </row>
    <row r="4" spans="1:2" ht="16.5" customHeight="1">
      <c r="A4" s="128" t="s">
        <v>2</v>
      </c>
      <c r="B4" s="130">
        <f>SUM(B5:B7)</f>
        <v>69400</v>
      </c>
    </row>
    <row r="5" spans="1:2" ht="16.5" customHeight="1">
      <c r="A5" s="131" t="s">
        <v>188</v>
      </c>
      <c r="B5" s="132">
        <f>46*B23</f>
        <v>69000</v>
      </c>
    </row>
    <row r="6" spans="1:2" ht="16.5" customHeight="1">
      <c r="A6" s="131" t="s">
        <v>117</v>
      </c>
      <c r="B6" s="133">
        <f>+'B2014-16 R2011-15'!B7</f>
        <v>100</v>
      </c>
    </row>
    <row r="7" spans="1:2" ht="16.5" customHeight="1">
      <c r="A7" s="131" t="s">
        <v>118</v>
      </c>
      <c r="B7" s="134">
        <f>+'B2014-16 R2011-15'!B8</f>
        <v>300</v>
      </c>
    </row>
    <row r="8" spans="1:2" ht="16.5" customHeight="1">
      <c r="A8" s="135"/>
      <c r="B8" s="133"/>
    </row>
    <row r="9" spans="1:2" ht="16.5" customHeight="1">
      <c r="A9" s="128" t="s">
        <v>5</v>
      </c>
      <c r="B9" s="130">
        <f>SUM(B10:B17)</f>
        <v>46550</v>
      </c>
    </row>
    <row r="10" spans="1:2" ht="16.5" customHeight="1">
      <c r="A10" s="131" t="s">
        <v>31</v>
      </c>
      <c r="B10" s="132">
        <f>+'B2014-16 R2011-15'!B11</f>
        <v>250</v>
      </c>
    </row>
    <row r="11" spans="1:2" ht="16.5" customHeight="1">
      <c r="A11" s="131" t="s">
        <v>55</v>
      </c>
      <c r="B11" s="132">
        <f>+'B2014-16 R2011-15'!B16</f>
        <v>7700</v>
      </c>
    </row>
    <row r="12" spans="1:2" ht="16.5" customHeight="1">
      <c r="A12" s="131" t="s">
        <v>8</v>
      </c>
      <c r="B12" s="132">
        <f>+'B2014-16 R2011-15'!B17</f>
        <v>10000</v>
      </c>
    </row>
    <row r="13" spans="1:2" ht="16.5" customHeight="1">
      <c r="A13" s="131" t="s">
        <v>131</v>
      </c>
      <c r="B13" s="132">
        <f>+'B2014-16 R2011-15'!B18</f>
        <v>18000</v>
      </c>
    </row>
    <row r="14" spans="1:2" ht="16.5" customHeight="1">
      <c r="A14" s="131" t="s">
        <v>132</v>
      </c>
      <c r="B14" s="132">
        <f>+'B2014-16 R2011-15'!B19</f>
        <v>3500</v>
      </c>
    </row>
    <row r="15" spans="1:2" ht="16.5" customHeight="1">
      <c r="A15" s="131" t="s">
        <v>9</v>
      </c>
      <c r="B15" s="132">
        <f>+'B2014-16 R2011-15'!B21</f>
        <v>1000</v>
      </c>
    </row>
    <row r="16" spans="1:2" ht="16.5" customHeight="1">
      <c r="A16" s="131" t="s">
        <v>200</v>
      </c>
      <c r="B16" s="132">
        <f>+'B2014-16 R2011-15'!B22</f>
        <v>5000</v>
      </c>
    </row>
    <row r="17" spans="1:2" ht="16.5" customHeight="1">
      <c r="A17" s="131" t="s">
        <v>11</v>
      </c>
      <c r="B17" s="132">
        <f>+'B2014-16 R2011-15'!B24</f>
        <v>1100</v>
      </c>
    </row>
    <row r="18" spans="1:2" ht="16.5" customHeight="1">
      <c r="A18" s="135"/>
      <c r="B18" s="136"/>
    </row>
    <row r="19" spans="1:2" ht="16.5" customHeight="1">
      <c r="A19" s="128" t="s">
        <v>119</v>
      </c>
      <c r="B19" s="130">
        <f>SUM(B20:B20)</f>
        <v>15000</v>
      </c>
    </row>
    <row r="20" spans="1:2" ht="16.5" customHeight="1">
      <c r="A20" s="131" t="s">
        <v>53</v>
      </c>
      <c r="B20" s="133">
        <f>+'B2014-16 R2011-15'!B31</f>
        <v>15000</v>
      </c>
    </row>
    <row r="21" spans="1:2" ht="16.5" customHeight="1">
      <c r="A21" s="137"/>
      <c r="B21" s="136"/>
    </row>
    <row r="22" spans="1:2" ht="16.5" customHeight="1">
      <c r="A22" s="135"/>
      <c r="B22" s="136"/>
    </row>
    <row r="23" spans="1:2" ht="16.5" customHeight="1">
      <c r="A23" s="128" t="s">
        <v>134</v>
      </c>
      <c r="B23" s="130">
        <v>1500</v>
      </c>
    </row>
    <row r="24" spans="1:2" ht="16.5" customHeight="1">
      <c r="A24" s="138"/>
      <c r="B24" s="134"/>
    </row>
  </sheetData>
  <sheetProtection/>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K63"/>
  <sheetViews>
    <sheetView zoomScale="117" zoomScaleNormal="117" zoomScaleSheetLayoutView="100" zoomScalePageLayoutView="0" workbookViewId="0" topLeftCell="A25">
      <selection activeCell="D46" sqref="D46"/>
    </sheetView>
  </sheetViews>
  <sheetFormatPr defaultColWidth="9.28125" defaultRowHeight="15"/>
  <cols>
    <col min="1" max="1" width="44.57421875" style="39" customWidth="1"/>
    <col min="2" max="5" width="14.421875" style="39" customWidth="1"/>
    <col min="6" max="6" width="42.57421875" style="39" customWidth="1"/>
    <col min="7" max="7" width="17.57421875" style="39" customWidth="1"/>
    <col min="8" max="8" width="9.421875" style="39" customWidth="1"/>
    <col min="9" max="9" width="15.7109375" style="39" customWidth="1"/>
    <col min="10" max="10" width="9.00390625" style="39" customWidth="1"/>
    <col min="11" max="11" width="42.28125" style="39" customWidth="1"/>
    <col min="12" max="12" width="12.7109375" style="39" bestFit="1" customWidth="1"/>
    <col min="13" max="13" width="9.00390625" style="39" customWidth="1"/>
    <col min="14" max="14" width="15.7109375" style="39" bestFit="1" customWidth="1"/>
    <col min="15" max="15" width="9.00390625" style="39" customWidth="1"/>
    <col min="16" max="16" width="41.7109375" style="39" customWidth="1"/>
    <col min="17" max="17" width="17.57421875" style="39" bestFit="1" customWidth="1"/>
    <col min="18" max="18" width="9.421875" style="39" customWidth="1"/>
    <col min="19" max="19" width="15.7109375" style="39" customWidth="1"/>
    <col min="20" max="20" width="9.28125" style="39" customWidth="1"/>
    <col min="21" max="21" width="42.00390625" style="39" customWidth="1"/>
    <col min="22" max="22" width="11.7109375" style="38" customWidth="1"/>
    <col min="23" max="23" width="3.7109375" style="38" customWidth="1"/>
    <col min="24" max="24" width="15.421875" style="38" customWidth="1"/>
    <col min="25" max="26" width="9.28125" style="39" customWidth="1"/>
    <col min="27" max="27" width="42.28125" style="39" customWidth="1"/>
    <col min="28" max="28" width="11.7109375" style="39" bestFit="1" customWidth="1"/>
    <col min="29" max="29" width="3.7109375" style="39" customWidth="1"/>
    <col min="30" max="30" width="15.421875" style="39" bestFit="1" customWidth="1"/>
    <col min="31" max="33" width="9.28125" style="39" customWidth="1"/>
    <col min="34" max="34" width="36.421875" style="39" customWidth="1"/>
    <col min="35" max="35" width="11.7109375" style="39" bestFit="1" customWidth="1"/>
    <col min="36" max="36" width="9.28125" style="39" customWidth="1"/>
    <col min="37" max="37" width="15.421875" style="39" bestFit="1" customWidth="1"/>
    <col min="38" max="16384" width="9.28125" style="39" customWidth="1"/>
  </cols>
  <sheetData>
    <row r="1" spans="1:37" ht="13.5" customHeight="1">
      <c r="A1" s="40" t="s">
        <v>0</v>
      </c>
      <c r="B1" s="38"/>
      <c r="C1" s="38"/>
      <c r="D1" s="38"/>
      <c r="E1" s="38"/>
      <c r="F1" s="40" t="s">
        <v>0</v>
      </c>
      <c r="G1" s="38"/>
      <c r="H1" s="38"/>
      <c r="I1" s="38"/>
      <c r="J1" s="38"/>
      <c r="K1" s="40" t="s">
        <v>0</v>
      </c>
      <c r="L1" s="38"/>
      <c r="M1" s="38"/>
      <c r="N1" s="38"/>
      <c r="O1" s="38"/>
      <c r="P1" s="40" t="s">
        <v>0</v>
      </c>
      <c r="Q1" s="38"/>
      <c r="R1" s="38"/>
      <c r="S1" s="38"/>
      <c r="U1" s="40" t="s">
        <v>0</v>
      </c>
      <c r="AA1" s="40" t="s">
        <v>0</v>
      </c>
      <c r="AB1" s="38"/>
      <c r="AC1" s="38"/>
      <c r="AD1" s="38"/>
      <c r="AH1" s="40" t="s">
        <v>0</v>
      </c>
      <c r="AI1" s="38"/>
      <c r="AJ1" s="38"/>
      <c r="AK1" s="38"/>
    </row>
    <row r="2" spans="1:37" ht="13.5" customHeight="1">
      <c r="A2" s="46" t="s">
        <v>194</v>
      </c>
      <c r="B2" s="38"/>
      <c r="C2" s="38"/>
      <c r="D2" s="38"/>
      <c r="E2" s="38"/>
      <c r="F2" s="46" t="s">
        <v>184</v>
      </c>
      <c r="G2" s="38"/>
      <c r="H2" s="38"/>
      <c r="I2" s="38"/>
      <c r="J2" s="38"/>
      <c r="K2" s="46" t="s">
        <v>159</v>
      </c>
      <c r="L2" s="38"/>
      <c r="M2" s="38"/>
      <c r="N2" s="38"/>
      <c r="O2" s="38"/>
      <c r="P2" s="46" t="s">
        <v>124</v>
      </c>
      <c r="Q2" s="38"/>
      <c r="R2" s="38"/>
      <c r="S2" s="38"/>
      <c r="U2" s="46" t="s">
        <v>33</v>
      </c>
      <c r="AA2" s="46" t="s">
        <v>1</v>
      </c>
      <c r="AB2" s="38"/>
      <c r="AC2" s="38"/>
      <c r="AD2" s="38"/>
      <c r="AH2" s="46" t="s">
        <v>157</v>
      </c>
      <c r="AI2" s="38"/>
      <c r="AJ2" s="38"/>
      <c r="AK2" s="38"/>
    </row>
    <row r="3" spans="2:37" ht="13.5" customHeight="1">
      <c r="B3" s="38"/>
      <c r="C3" s="38"/>
      <c r="D3" s="38"/>
      <c r="E3" s="38"/>
      <c r="G3" s="38"/>
      <c r="H3" s="38"/>
      <c r="I3" s="38"/>
      <c r="J3" s="38"/>
      <c r="L3" s="38"/>
      <c r="M3" s="38"/>
      <c r="N3" s="38"/>
      <c r="O3" s="38"/>
      <c r="Q3" s="38"/>
      <c r="R3" s="38"/>
      <c r="S3" s="38"/>
      <c r="AB3" s="38"/>
      <c r="AC3" s="38"/>
      <c r="AD3" s="38"/>
      <c r="AI3" s="38"/>
      <c r="AJ3" s="38"/>
      <c r="AK3" s="38"/>
    </row>
    <row r="4" spans="1:37" ht="13.5" customHeight="1">
      <c r="A4" s="40"/>
      <c r="B4" s="38"/>
      <c r="C4" s="38"/>
      <c r="D4" s="38"/>
      <c r="E4" s="38"/>
      <c r="F4" s="40"/>
      <c r="G4" s="38"/>
      <c r="H4" s="38"/>
      <c r="I4" s="38"/>
      <c r="J4" s="38"/>
      <c r="K4" s="40"/>
      <c r="L4" s="38"/>
      <c r="M4" s="38"/>
      <c r="N4" s="38"/>
      <c r="O4" s="38"/>
      <c r="P4" s="40"/>
      <c r="Q4" s="38"/>
      <c r="R4" s="38"/>
      <c r="S4" s="38"/>
      <c r="AB4" s="38"/>
      <c r="AC4" s="38"/>
      <c r="AD4" s="38"/>
      <c r="AI4" s="38"/>
      <c r="AJ4" s="38"/>
      <c r="AK4" s="38"/>
    </row>
    <row r="5" spans="2:37" ht="13.5" customHeight="1">
      <c r="B5" s="38"/>
      <c r="C5" s="38"/>
      <c r="D5" s="38"/>
      <c r="E5" s="38"/>
      <c r="G5" s="38"/>
      <c r="H5" s="38"/>
      <c r="I5" s="38"/>
      <c r="J5" s="38"/>
      <c r="L5" s="38"/>
      <c r="M5" s="38"/>
      <c r="N5" s="38"/>
      <c r="O5" s="38"/>
      <c r="P5" s="39" t="s">
        <v>2</v>
      </c>
      <c r="Q5" s="38"/>
      <c r="R5" s="38"/>
      <c r="S5" s="38"/>
      <c r="U5" s="39" t="s">
        <v>2</v>
      </c>
      <c r="AA5" s="39" t="s">
        <v>2</v>
      </c>
      <c r="AB5" s="38"/>
      <c r="AC5" s="38"/>
      <c r="AD5" s="38"/>
      <c r="AH5" s="39" t="s">
        <v>2</v>
      </c>
      <c r="AI5" s="38"/>
      <c r="AJ5" s="38"/>
      <c r="AK5" s="38"/>
    </row>
    <row r="6" spans="1:37" ht="13.5" customHeight="1">
      <c r="A6" s="39" t="s">
        <v>2</v>
      </c>
      <c r="B6" s="38"/>
      <c r="C6" s="38"/>
      <c r="D6" s="38"/>
      <c r="E6" s="38"/>
      <c r="F6" s="39" t="s">
        <v>2</v>
      </c>
      <c r="G6" s="38"/>
      <c r="H6" s="38"/>
      <c r="I6" s="38"/>
      <c r="J6" s="38"/>
      <c r="K6" s="39" t="s">
        <v>2</v>
      </c>
      <c r="L6" s="38"/>
      <c r="M6" s="38"/>
      <c r="N6" s="38"/>
      <c r="O6" s="38"/>
      <c r="P6" s="39" t="s">
        <v>110</v>
      </c>
      <c r="Q6" s="38"/>
      <c r="R6" s="38"/>
      <c r="S6" s="38">
        <v>1800</v>
      </c>
      <c r="U6" s="39" t="s">
        <v>28</v>
      </c>
      <c r="X6" s="38">
        <v>5600</v>
      </c>
      <c r="AA6" s="39" t="s">
        <v>3</v>
      </c>
      <c r="AB6" s="38"/>
      <c r="AC6" s="38"/>
      <c r="AD6" s="38">
        <v>16800</v>
      </c>
      <c r="AH6" s="39" t="s">
        <v>95</v>
      </c>
      <c r="AI6" s="38"/>
      <c r="AJ6" s="38"/>
      <c r="AK6" s="38">
        <v>106400</v>
      </c>
    </row>
    <row r="7" spans="1:37" ht="13.5" customHeight="1">
      <c r="A7" s="39" t="s">
        <v>192</v>
      </c>
      <c r="B7" s="38"/>
      <c r="C7" s="38"/>
      <c r="D7" s="47">
        <f>46*1500</f>
        <v>69000</v>
      </c>
      <c r="E7" s="47"/>
      <c r="F7" s="39" t="s">
        <v>182</v>
      </c>
      <c r="G7" s="38"/>
      <c r="H7" s="38"/>
      <c r="I7" s="41">
        <f>45*1500</f>
        <v>67500</v>
      </c>
      <c r="J7" s="47"/>
      <c r="K7" s="39" t="s">
        <v>29</v>
      </c>
      <c r="L7" s="38"/>
      <c r="M7" s="38"/>
      <c r="N7" s="41">
        <f>46*2000</f>
        <v>92000</v>
      </c>
      <c r="O7" s="47"/>
      <c r="P7" s="39" t="s">
        <v>29</v>
      </c>
      <c r="Q7" s="38"/>
      <c r="R7" s="38"/>
      <c r="S7" s="41">
        <v>92000</v>
      </c>
      <c r="U7" s="39" t="s">
        <v>30</v>
      </c>
      <c r="X7" s="38">
        <v>5400</v>
      </c>
      <c r="AA7" s="39" t="s">
        <v>4</v>
      </c>
      <c r="AB7" s="38"/>
      <c r="AC7" s="38"/>
      <c r="AD7" s="38">
        <v>75600</v>
      </c>
      <c r="AI7" s="38"/>
      <c r="AJ7" s="38"/>
      <c r="AK7" s="38"/>
    </row>
    <row r="8" spans="1:37" ht="13.5" customHeight="1">
      <c r="A8" s="39" t="s">
        <v>191</v>
      </c>
      <c r="D8" s="41">
        <v>1500</v>
      </c>
      <c r="F8" s="39" t="s">
        <v>183</v>
      </c>
      <c r="U8" s="39" t="s">
        <v>29</v>
      </c>
      <c r="X8" s="41">
        <v>92000</v>
      </c>
      <c r="AB8" s="38"/>
      <c r="AC8" s="38"/>
      <c r="AD8" s="41"/>
      <c r="AI8" s="38"/>
      <c r="AJ8" s="38"/>
      <c r="AK8" s="41"/>
    </row>
    <row r="9" spans="2:37" ht="13.5" customHeight="1">
      <c r="B9" s="38"/>
      <c r="C9" s="38"/>
      <c r="D9" s="38">
        <f>SUM(D7:D8)</f>
        <v>70500</v>
      </c>
      <c r="E9" s="38"/>
      <c r="G9" s="38"/>
      <c r="H9" s="38"/>
      <c r="I9" s="38">
        <f>SUM(I6:I7)</f>
        <v>67500</v>
      </c>
      <c r="J9" s="38"/>
      <c r="L9" s="38"/>
      <c r="M9" s="38"/>
      <c r="N9" s="38">
        <f>SUM(N6:N7)</f>
        <v>92000</v>
      </c>
      <c r="O9" s="38"/>
      <c r="Q9" s="38"/>
      <c r="R9" s="38"/>
      <c r="S9" s="38">
        <v>93800</v>
      </c>
      <c r="X9" s="38">
        <v>103000</v>
      </c>
      <c r="AB9" s="38"/>
      <c r="AC9" s="38"/>
      <c r="AD9" s="38">
        <v>92400</v>
      </c>
      <c r="AI9" s="38"/>
      <c r="AJ9" s="38"/>
      <c r="AK9" s="38">
        <v>106400</v>
      </c>
    </row>
    <row r="10" spans="2:37" ht="13.5" customHeight="1">
      <c r="B10" s="38"/>
      <c r="C10" s="38"/>
      <c r="D10" s="38"/>
      <c r="E10" s="38"/>
      <c r="G10" s="38"/>
      <c r="H10" s="38"/>
      <c r="I10" s="38"/>
      <c r="J10" s="38"/>
      <c r="L10" s="38"/>
      <c r="M10" s="38"/>
      <c r="N10" s="38"/>
      <c r="O10" s="38"/>
      <c r="Q10" s="38"/>
      <c r="R10" s="38"/>
      <c r="S10" s="38"/>
      <c r="AB10" s="38"/>
      <c r="AC10" s="38"/>
      <c r="AD10" s="38"/>
      <c r="AI10" s="38"/>
      <c r="AJ10" s="38"/>
      <c r="AK10" s="38"/>
    </row>
    <row r="11" spans="1:37" ht="13.5" customHeight="1">
      <c r="A11" s="39" t="s">
        <v>5</v>
      </c>
      <c r="B11" s="38"/>
      <c r="C11" s="38"/>
      <c r="D11" s="38"/>
      <c r="E11" s="38"/>
      <c r="F11" s="39" t="s">
        <v>5</v>
      </c>
      <c r="G11" s="38"/>
      <c r="H11" s="38"/>
      <c r="I11" s="38"/>
      <c r="J11" s="38"/>
      <c r="K11" s="39" t="s">
        <v>5</v>
      </c>
      <c r="L11" s="38"/>
      <c r="M11" s="38"/>
      <c r="N11" s="38"/>
      <c r="O11" s="38"/>
      <c r="P11" s="39" t="s">
        <v>5</v>
      </c>
      <c r="Q11" s="38"/>
      <c r="R11" s="38"/>
      <c r="S11" s="38"/>
      <c r="U11" s="39" t="s">
        <v>5</v>
      </c>
      <c r="AA11" s="39" t="s">
        <v>5</v>
      </c>
      <c r="AB11" s="38"/>
      <c r="AC11" s="38"/>
      <c r="AD11" s="38"/>
      <c r="AH11" s="39" t="s">
        <v>5</v>
      </c>
      <c r="AI11" s="38"/>
      <c r="AJ11" s="38"/>
      <c r="AK11" s="38"/>
    </row>
    <row r="12" spans="1:37" ht="13.5" customHeight="1">
      <c r="A12" s="39" t="s">
        <v>31</v>
      </c>
      <c r="B12" s="38">
        <f>+'B2014-16 R2011-15'!D11</f>
        <v>231.75</v>
      </c>
      <c r="C12" s="38"/>
      <c r="D12" s="38"/>
      <c r="E12" s="38"/>
      <c r="F12" s="39" t="s">
        <v>31</v>
      </c>
      <c r="G12" s="38">
        <f>+'B2013-15 R2010-14'!D10</f>
        <v>198.75</v>
      </c>
      <c r="H12" s="38"/>
      <c r="I12" s="38"/>
      <c r="J12" s="38"/>
      <c r="K12" s="39" t="s">
        <v>31</v>
      </c>
      <c r="L12" s="38">
        <v>198.75</v>
      </c>
      <c r="M12" s="38"/>
      <c r="N12" s="38"/>
      <c r="O12" s="38"/>
      <c r="P12" s="39" t="s">
        <v>31</v>
      </c>
      <c r="Q12" s="38">
        <v>198.75</v>
      </c>
      <c r="R12" s="38"/>
      <c r="S12" s="38"/>
      <c r="U12" s="39" t="s">
        <v>31</v>
      </c>
      <c r="V12" s="38">
        <v>198.75</v>
      </c>
      <c r="AA12" s="39" t="s">
        <v>6</v>
      </c>
      <c r="AB12" s="38">
        <v>198.75</v>
      </c>
      <c r="AC12" s="38"/>
      <c r="AD12" s="38"/>
      <c r="AH12" s="39" t="s">
        <v>6</v>
      </c>
      <c r="AI12" s="38">
        <v>322.5</v>
      </c>
      <c r="AJ12" s="38"/>
      <c r="AK12" s="38"/>
    </row>
    <row r="13" spans="1:37" ht="13.5" customHeight="1">
      <c r="A13" s="39" t="s">
        <v>7</v>
      </c>
      <c r="B13" s="38">
        <f>+'B2014-16 R2011-15'!D12</f>
        <v>-1370.34</v>
      </c>
      <c r="C13" s="38"/>
      <c r="D13" s="38"/>
      <c r="E13" s="38"/>
      <c r="F13" s="39" t="s">
        <v>7</v>
      </c>
      <c r="G13" s="38">
        <f>+'B2013-15 R2010-14'!D12</f>
        <v>464.77</v>
      </c>
      <c r="H13" s="38"/>
      <c r="I13" s="38"/>
      <c r="J13" s="38"/>
      <c r="K13" s="39" t="s">
        <v>7</v>
      </c>
      <c r="L13" s="38">
        <v>10319.12</v>
      </c>
      <c r="M13" s="38"/>
      <c r="N13" s="38"/>
      <c r="O13" s="38"/>
      <c r="P13" s="39" t="s">
        <v>7</v>
      </c>
      <c r="Q13" s="38">
        <v>16008.85</v>
      </c>
      <c r="R13" s="38"/>
      <c r="S13" s="38"/>
      <c r="U13" s="39" t="s">
        <v>7</v>
      </c>
      <c r="V13" s="38">
        <v>17351.71</v>
      </c>
      <c r="AA13" s="39" t="s">
        <v>7</v>
      </c>
      <c r="AB13" s="38">
        <v>16394.74</v>
      </c>
      <c r="AC13" s="38"/>
      <c r="AD13" s="38"/>
      <c r="AH13" s="39" t="s">
        <v>7</v>
      </c>
      <c r="AI13" s="38">
        <v>16488.78</v>
      </c>
      <c r="AJ13" s="38"/>
      <c r="AK13" s="38"/>
    </row>
    <row r="14" spans="1:37" ht="13.5" customHeight="1">
      <c r="A14" s="39" t="s">
        <v>112</v>
      </c>
      <c r="B14" s="38">
        <f>+'B2014-16 R2011-15'!D13</f>
        <v>0</v>
      </c>
      <c r="C14" s="38"/>
      <c r="D14" s="38"/>
      <c r="E14" s="38"/>
      <c r="F14" s="39" t="s">
        <v>112</v>
      </c>
      <c r="G14" s="38">
        <v>0</v>
      </c>
      <c r="H14" s="38"/>
      <c r="I14" s="38"/>
      <c r="J14" s="38"/>
      <c r="K14" s="39" t="s">
        <v>112</v>
      </c>
      <c r="L14" s="38">
        <v>7477.13</v>
      </c>
      <c r="M14" s="38"/>
      <c r="N14" s="38"/>
      <c r="O14" s="38"/>
      <c r="P14" s="39" t="s">
        <v>112</v>
      </c>
      <c r="Q14" s="38">
        <v>8885.27</v>
      </c>
      <c r="R14" s="38"/>
      <c r="S14" s="38"/>
      <c r="AB14" s="38"/>
      <c r="AC14" s="38"/>
      <c r="AD14" s="38"/>
      <c r="AI14" s="38"/>
      <c r="AJ14" s="38"/>
      <c r="AK14" s="38"/>
    </row>
    <row r="15" spans="1:37" ht="13.5" customHeight="1">
      <c r="A15" s="39" t="s">
        <v>55</v>
      </c>
      <c r="B15" s="38">
        <f>+'B2014-16 R2011-15'!D16</f>
        <v>7508</v>
      </c>
      <c r="C15" s="38"/>
      <c r="D15" s="38"/>
      <c r="E15" s="38"/>
      <c r="F15" s="39" t="s">
        <v>55</v>
      </c>
      <c r="G15" s="38">
        <f>+'B2013-15 R2010-14'!D15</f>
        <v>7370</v>
      </c>
      <c r="H15" s="38"/>
      <c r="I15" s="38"/>
      <c r="J15" s="38"/>
      <c r="K15" s="39" t="s">
        <v>55</v>
      </c>
      <c r="L15" s="38">
        <v>7232</v>
      </c>
      <c r="M15" s="38"/>
      <c r="N15" s="38"/>
      <c r="O15" s="38"/>
      <c r="P15" s="39" t="s">
        <v>55</v>
      </c>
      <c r="Q15" s="38">
        <v>7048</v>
      </c>
      <c r="R15" s="38"/>
      <c r="S15" s="38"/>
      <c r="U15" s="39" t="s">
        <v>55</v>
      </c>
      <c r="V15" s="38">
        <v>5450</v>
      </c>
      <c r="AB15" s="38"/>
      <c r="AC15" s="38"/>
      <c r="AD15" s="38"/>
      <c r="AH15" s="39" t="s">
        <v>96</v>
      </c>
      <c r="AI15" s="38">
        <v>7383.6</v>
      </c>
      <c r="AJ15" s="38"/>
      <c r="AK15" s="38"/>
    </row>
    <row r="16" spans="1:37" ht="13.5" customHeight="1">
      <c r="A16" s="39" t="s">
        <v>8</v>
      </c>
      <c r="B16" s="38">
        <f>+'B2014-16 R2011-15'!D17</f>
        <v>4339.07</v>
      </c>
      <c r="C16" s="38"/>
      <c r="D16" s="38"/>
      <c r="E16" s="38"/>
      <c r="F16" s="39" t="s">
        <v>8</v>
      </c>
      <c r="G16" s="38">
        <f>+'B2013-15 R2010-14'!D16</f>
        <v>4692.19</v>
      </c>
      <c r="H16" s="38"/>
      <c r="I16" s="38"/>
      <c r="J16" s="38"/>
      <c r="K16" s="39" t="s">
        <v>8</v>
      </c>
      <c r="L16" s="38">
        <v>6535.94</v>
      </c>
      <c r="M16" s="38"/>
      <c r="N16" s="38"/>
      <c r="O16" s="38"/>
      <c r="P16" s="39" t="s">
        <v>8</v>
      </c>
      <c r="Q16" s="38">
        <v>2710.5</v>
      </c>
      <c r="R16" s="38"/>
      <c r="S16" s="38"/>
      <c r="U16" s="39" t="s">
        <v>8</v>
      </c>
      <c r="V16" s="38">
        <v>36165.64</v>
      </c>
      <c r="AA16" s="39" t="s">
        <v>8</v>
      </c>
      <c r="AB16" s="38">
        <v>8185.48</v>
      </c>
      <c r="AC16" s="38"/>
      <c r="AD16" s="38"/>
      <c r="AH16" s="39" t="s">
        <v>8</v>
      </c>
      <c r="AI16" s="38">
        <v>1312.5</v>
      </c>
      <c r="AJ16" s="38"/>
      <c r="AK16" s="38"/>
    </row>
    <row r="17" spans="1:37" ht="13.5" customHeight="1">
      <c r="A17" s="39" t="s">
        <v>32</v>
      </c>
      <c r="B17" s="38">
        <f>+'B2014-16 R2011-15'!D18+'B2014-16 R2011-15'!D19</f>
        <v>20956.25</v>
      </c>
      <c r="C17" s="38"/>
      <c r="D17" s="38"/>
      <c r="E17" s="38"/>
      <c r="F17" s="39" t="s">
        <v>32</v>
      </c>
      <c r="G17" s="38">
        <f>+'B2013-15 R2010-14'!D17+'B2013-15 R2010-14'!D18</f>
        <v>20956.25</v>
      </c>
      <c r="H17" s="38"/>
      <c r="I17" s="38"/>
      <c r="J17" s="38"/>
      <c r="K17" s="39" t="s">
        <v>32</v>
      </c>
      <c r="L17" s="38">
        <v>17281.25</v>
      </c>
      <c r="M17" s="38"/>
      <c r="N17" s="38"/>
      <c r="O17" s="38"/>
      <c r="P17" s="39" t="s">
        <v>32</v>
      </c>
      <c r="Q17" s="38">
        <v>21218.75</v>
      </c>
      <c r="R17" s="38"/>
      <c r="S17" s="38"/>
      <c r="U17" s="39" t="s">
        <v>32</v>
      </c>
      <c r="V17" s="38">
        <v>14875</v>
      </c>
      <c r="AB17" s="38"/>
      <c r="AC17" s="38"/>
      <c r="AD17" s="38"/>
      <c r="AH17" s="39" t="s">
        <v>97</v>
      </c>
      <c r="AI17" s="38">
        <v>1500</v>
      </c>
      <c r="AJ17" s="38"/>
      <c r="AK17" s="38"/>
    </row>
    <row r="18" spans="1:37" ht="13.5" customHeight="1">
      <c r="A18" s="39" t="s">
        <v>9</v>
      </c>
      <c r="B18" s="38">
        <f>+'B2014-16 R2011-15'!D21</f>
        <v>440</v>
      </c>
      <c r="C18" s="38"/>
      <c r="D18" s="38"/>
      <c r="E18" s="38"/>
      <c r="F18" s="39" t="s">
        <v>9</v>
      </c>
      <c r="G18" s="38">
        <f>+'B2013-15 R2010-14'!D19</f>
        <v>683.15</v>
      </c>
      <c r="H18" s="38"/>
      <c r="I18" s="38"/>
      <c r="J18" s="38"/>
      <c r="K18" s="39" t="s">
        <v>9</v>
      </c>
      <c r="L18" s="38">
        <v>440</v>
      </c>
      <c r="M18" s="38"/>
      <c r="N18" s="38"/>
      <c r="O18" s="38"/>
      <c r="P18" s="39" t="s">
        <v>9</v>
      </c>
      <c r="Q18" s="38">
        <v>845</v>
      </c>
      <c r="R18" s="38"/>
      <c r="S18" s="38"/>
      <c r="U18" s="39" t="s">
        <v>9</v>
      </c>
      <c r="V18" s="38">
        <v>2450</v>
      </c>
      <c r="AA18" s="39" t="s">
        <v>9</v>
      </c>
      <c r="AB18" s="38">
        <v>1700</v>
      </c>
      <c r="AC18" s="38"/>
      <c r="AD18" s="38"/>
      <c r="AH18" s="39" t="s">
        <v>9</v>
      </c>
      <c r="AI18" s="38"/>
      <c r="AJ18" s="38"/>
      <c r="AK18" s="38"/>
    </row>
    <row r="19" spans="1:37" ht="13.5" customHeight="1">
      <c r="A19" s="39" t="s">
        <v>185</v>
      </c>
      <c r="B19" s="38">
        <f>+'B2014-16 R2011-15'!D22</f>
        <v>5039.05</v>
      </c>
      <c r="C19" s="38"/>
      <c r="D19" s="38"/>
      <c r="E19" s="38"/>
      <c r="F19" s="39" t="s">
        <v>185</v>
      </c>
      <c r="G19" s="38">
        <f>+'B2013-15 R2010-14'!D20</f>
        <v>5187.79</v>
      </c>
      <c r="H19" s="38"/>
      <c r="I19" s="38"/>
      <c r="J19" s="38"/>
      <c r="K19" s="39" t="s">
        <v>10</v>
      </c>
      <c r="L19" s="38">
        <v>4639.7</v>
      </c>
      <c r="M19" s="38"/>
      <c r="N19" s="38"/>
      <c r="O19" s="38"/>
      <c r="P19" s="39" t="s">
        <v>10</v>
      </c>
      <c r="Q19" s="38">
        <v>3000</v>
      </c>
      <c r="R19" s="38"/>
      <c r="S19" s="38"/>
      <c r="U19" s="39" t="s">
        <v>10</v>
      </c>
      <c r="V19" s="38">
        <v>5050</v>
      </c>
      <c r="AA19" s="39" t="s">
        <v>10</v>
      </c>
      <c r="AB19" s="38">
        <v>2500</v>
      </c>
      <c r="AC19" s="38"/>
      <c r="AD19" s="38"/>
      <c r="AH19" s="39" t="s">
        <v>10</v>
      </c>
      <c r="AI19" s="38"/>
      <c r="AJ19" s="38"/>
      <c r="AK19" s="38"/>
    </row>
    <row r="20" spans="2:37" ht="13.5" customHeight="1">
      <c r="B20" s="38">
        <f>+'B2014-16 R2011-15'!D23</f>
        <v>0</v>
      </c>
      <c r="C20" s="38"/>
      <c r="D20" s="38"/>
      <c r="E20" s="38"/>
      <c r="G20" s="38"/>
      <c r="H20" s="38"/>
      <c r="I20" s="38"/>
      <c r="J20" s="38"/>
      <c r="K20" s="39" t="s">
        <v>161</v>
      </c>
      <c r="L20" s="38">
        <v>1011.75</v>
      </c>
      <c r="M20" s="38"/>
      <c r="N20" s="38"/>
      <c r="O20" s="38"/>
      <c r="P20" s="39" t="s">
        <v>50</v>
      </c>
      <c r="Q20" s="38">
        <v>0</v>
      </c>
      <c r="R20" s="38"/>
      <c r="S20" s="38"/>
      <c r="U20" s="39" t="s">
        <v>50</v>
      </c>
      <c r="V20" s="38">
        <v>629</v>
      </c>
      <c r="AC20" s="38"/>
      <c r="AD20" s="38"/>
      <c r="AJ20" s="38"/>
      <c r="AK20" s="38"/>
    </row>
    <row r="21" spans="1:36" ht="13.5" customHeight="1">
      <c r="A21" s="39" t="s">
        <v>11</v>
      </c>
      <c r="B21" s="38">
        <f>+'B2014-16 R2011-15'!D24</f>
        <v>1000</v>
      </c>
      <c r="C21" s="38"/>
      <c r="D21" s="38"/>
      <c r="E21" s="38"/>
      <c r="F21" s="39" t="s">
        <v>11</v>
      </c>
      <c r="G21" s="38">
        <f>+'B2013-15 R2010-14'!D22</f>
        <v>1009</v>
      </c>
      <c r="H21" s="38"/>
      <c r="I21" s="38"/>
      <c r="J21" s="38"/>
      <c r="K21" s="39" t="s">
        <v>11</v>
      </c>
      <c r="L21" s="38">
        <v>1000</v>
      </c>
      <c r="M21" s="38"/>
      <c r="N21" s="38"/>
      <c r="O21" s="38"/>
      <c r="P21" s="39" t="s">
        <v>11</v>
      </c>
      <c r="Q21" s="38">
        <v>25</v>
      </c>
      <c r="R21" s="38"/>
      <c r="S21" s="38"/>
      <c r="U21" s="39" t="s">
        <v>11</v>
      </c>
      <c r="V21" s="38">
        <v>153</v>
      </c>
      <c r="AA21" s="39" t="s">
        <v>11</v>
      </c>
      <c r="AB21" s="38">
        <v>116</v>
      </c>
      <c r="AC21" s="38"/>
      <c r="AH21" s="39" t="s">
        <v>11</v>
      </c>
      <c r="AI21" s="38">
        <v>45</v>
      </c>
      <c r="AJ21" s="38"/>
    </row>
    <row r="22" spans="1:36" ht="13.5" customHeight="1">
      <c r="A22" s="39" t="s">
        <v>12</v>
      </c>
      <c r="B22" s="41">
        <f>+'B2014-16 R2011-15'!D25</f>
        <v>0</v>
      </c>
      <c r="C22" s="38"/>
      <c r="D22" s="41">
        <f>SUM(B12:B22)</f>
        <v>38143.78</v>
      </c>
      <c r="E22" s="47"/>
      <c r="F22" s="39" t="s">
        <v>12</v>
      </c>
      <c r="G22" s="41">
        <v>0</v>
      </c>
      <c r="H22" s="38"/>
      <c r="I22" s="41">
        <f>SUM(G12:G22)</f>
        <v>40561.9</v>
      </c>
      <c r="J22" s="47"/>
      <c r="K22" s="39" t="s">
        <v>12</v>
      </c>
      <c r="L22" s="41">
        <v>0</v>
      </c>
      <c r="M22" s="38"/>
      <c r="N22" s="41">
        <f>SUM(L12:L22)</f>
        <v>56135.64</v>
      </c>
      <c r="O22" s="47"/>
      <c r="P22" s="39" t="s">
        <v>111</v>
      </c>
      <c r="Q22" s="38">
        <v>2093.75</v>
      </c>
      <c r="R22" s="38"/>
      <c r="S22" s="38"/>
      <c r="AB22" s="38"/>
      <c r="AC22" s="38"/>
      <c r="AI22" s="38"/>
      <c r="AJ22" s="38"/>
    </row>
    <row r="23" spans="3:37" ht="13.5" customHeight="1">
      <c r="C23" s="38"/>
      <c r="H23" s="38"/>
      <c r="M23" s="38"/>
      <c r="P23" s="39" t="s">
        <v>12</v>
      </c>
      <c r="Q23" s="41">
        <v>0</v>
      </c>
      <c r="R23" s="38"/>
      <c r="S23" s="41">
        <v>62033.87</v>
      </c>
      <c r="U23" s="39" t="s">
        <v>12</v>
      </c>
      <c r="V23" s="41">
        <v>0</v>
      </c>
      <c r="X23" s="41">
        <v>82323.1</v>
      </c>
      <c r="AA23" s="39" t="s">
        <v>12</v>
      </c>
      <c r="AB23" s="41">
        <v>668</v>
      </c>
      <c r="AC23" s="38"/>
      <c r="AD23" s="41">
        <v>29762.97</v>
      </c>
      <c r="AH23" s="39" t="s">
        <v>12</v>
      </c>
      <c r="AI23" s="41">
        <v>82.95</v>
      </c>
      <c r="AJ23" s="38"/>
      <c r="AK23" s="41">
        <v>27135.33</v>
      </c>
    </row>
    <row r="24" spans="2:37" ht="13.5" customHeight="1">
      <c r="B24" s="38"/>
      <c r="C24" s="38"/>
      <c r="D24" s="38"/>
      <c r="E24" s="38"/>
      <c r="G24" s="38"/>
      <c r="H24" s="38"/>
      <c r="I24" s="38"/>
      <c r="J24" s="38"/>
      <c r="L24" s="38"/>
      <c r="M24" s="38"/>
      <c r="N24" s="38"/>
      <c r="O24" s="38"/>
      <c r="Q24" s="38"/>
      <c r="R24" s="38"/>
      <c r="S24" s="38"/>
      <c r="AB24" s="38"/>
      <c r="AC24" s="38"/>
      <c r="AD24" s="38"/>
      <c r="AI24" s="38"/>
      <c r="AJ24" s="38"/>
      <c r="AK24" s="38"/>
    </row>
    <row r="25" spans="1:37" ht="13.5" customHeight="1">
      <c r="A25" s="39" t="s">
        <v>13</v>
      </c>
      <c r="B25" s="38"/>
      <c r="C25" s="38"/>
      <c r="D25" s="38">
        <f>D9-D22</f>
        <v>32356.22</v>
      </c>
      <c r="E25" s="38"/>
      <c r="F25" s="39" t="s">
        <v>13</v>
      </c>
      <c r="G25" s="38"/>
      <c r="H25" s="38"/>
      <c r="I25" s="38">
        <f>I9-I22</f>
        <v>26938.1</v>
      </c>
      <c r="J25" s="38"/>
      <c r="K25" s="39" t="s">
        <v>13</v>
      </c>
      <c r="L25" s="38"/>
      <c r="M25" s="38"/>
      <c r="N25" s="38">
        <f>N9-N22</f>
        <v>35864.36</v>
      </c>
      <c r="O25" s="38"/>
      <c r="P25" s="39" t="s">
        <v>13</v>
      </c>
      <c r="Q25" s="38"/>
      <c r="R25" s="38"/>
      <c r="S25" s="38">
        <v>31766.13</v>
      </c>
      <c r="U25" s="39" t="s">
        <v>13</v>
      </c>
      <c r="X25" s="38">
        <v>20676.9</v>
      </c>
      <c r="AA25" s="39" t="s">
        <v>13</v>
      </c>
      <c r="AB25" s="38"/>
      <c r="AC25" s="38"/>
      <c r="AD25" s="38">
        <v>62637.03</v>
      </c>
      <c r="AH25" s="39" t="s">
        <v>13</v>
      </c>
      <c r="AI25" s="38"/>
      <c r="AJ25" s="38"/>
      <c r="AK25" s="38">
        <v>79264.67</v>
      </c>
    </row>
    <row r="26" spans="2:37" ht="13.5" customHeight="1">
      <c r="B26" s="38"/>
      <c r="C26" s="38"/>
      <c r="D26" s="38"/>
      <c r="E26" s="38"/>
      <c r="G26" s="38"/>
      <c r="H26" s="38"/>
      <c r="I26" s="38"/>
      <c r="J26" s="38"/>
      <c r="L26" s="38"/>
      <c r="M26" s="38"/>
      <c r="N26" s="38"/>
      <c r="O26" s="38"/>
      <c r="Q26" s="38"/>
      <c r="R26" s="38"/>
      <c r="S26" s="38"/>
      <c r="AB26" s="38"/>
      <c r="AC26" s="38"/>
      <c r="AD26" s="38"/>
      <c r="AI26" s="38"/>
      <c r="AJ26" s="38"/>
      <c r="AK26" s="38"/>
    </row>
    <row r="27" spans="1:37" ht="13.5" customHeight="1">
      <c r="A27" s="39" t="s">
        <v>163</v>
      </c>
      <c r="B27" s="38"/>
      <c r="C27" s="38"/>
      <c r="D27" s="41">
        <f>+'B2014-16 R2011-15'!D7+'B2014-16 R2011-15'!D8</f>
        <v>353.03</v>
      </c>
      <c r="E27" s="47"/>
      <c r="F27" s="39" t="s">
        <v>163</v>
      </c>
      <c r="G27" s="38"/>
      <c r="H27" s="38"/>
      <c r="I27" s="41">
        <f>+'B2013-15 R2010-14'!D7+'B2013-15 R2010-14'!D6</f>
        <v>3885.86</v>
      </c>
      <c r="J27" s="47"/>
      <c r="K27" s="39" t="s">
        <v>163</v>
      </c>
      <c r="L27" s="38"/>
      <c r="M27" s="38"/>
      <c r="N27" s="41">
        <f>75.38+3004.38</f>
        <v>3079.76</v>
      </c>
      <c r="O27" s="47"/>
      <c r="P27" s="39" t="s">
        <v>14</v>
      </c>
      <c r="Q27" s="38"/>
      <c r="R27" s="38"/>
      <c r="S27" s="41">
        <v>552.57</v>
      </c>
      <c r="U27" s="39" t="s">
        <v>14</v>
      </c>
      <c r="X27" s="41">
        <v>121.14</v>
      </c>
      <c r="AA27" s="39" t="s">
        <v>14</v>
      </c>
      <c r="AB27" s="38"/>
      <c r="AC27" s="38"/>
      <c r="AD27" s="41">
        <v>120.88</v>
      </c>
      <c r="AH27" s="39" t="s">
        <v>14</v>
      </c>
      <c r="AI27" s="38"/>
      <c r="AJ27" s="38"/>
      <c r="AK27" s="41">
        <v>8.33</v>
      </c>
    </row>
    <row r="28" spans="2:37" ht="13.5" customHeight="1">
      <c r="B28" s="38"/>
      <c r="C28" s="38"/>
      <c r="D28" s="38"/>
      <c r="E28" s="38"/>
      <c r="G28" s="38"/>
      <c r="H28" s="38"/>
      <c r="I28" s="38"/>
      <c r="J28" s="38"/>
      <c r="L28" s="38"/>
      <c r="M28" s="38"/>
      <c r="N28" s="38"/>
      <c r="O28" s="38"/>
      <c r="Q28" s="38"/>
      <c r="R28" s="38"/>
      <c r="S28" s="38"/>
      <c r="AB28" s="38"/>
      <c r="AC28" s="38"/>
      <c r="AD28" s="38"/>
      <c r="AI28" s="38"/>
      <c r="AJ28" s="38"/>
      <c r="AK28" s="38"/>
    </row>
    <row r="29" spans="1:37" ht="13.5" customHeight="1" thickBot="1">
      <c r="A29" s="40" t="s">
        <v>15</v>
      </c>
      <c r="B29" s="42"/>
      <c r="C29" s="42"/>
      <c r="D29" s="43">
        <f>D25+D27</f>
        <v>32709.25</v>
      </c>
      <c r="E29" s="107"/>
      <c r="F29" s="40" t="s">
        <v>15</v>
      </c>
      <c r="G29" s="42"/>
      <c r="H29" s="42"/>
      <c r="I29" s="43">
        <f>I25+I27</f>
        <v>30823.96</v>
      </c>
      <c r="J29" s="107"/>
      <c r="K29" s="40" t="s">
        <v>15</v>
      </c>
      <c r="L29" s="42"/>
      <c r="M29" s="42"/>
      <c r="N29" s="43">
        <f>N25+N27</f>
        <v>38944.12</v>
      </c>
      <c r="O29" s="107"/>
      <c r="P29" s="40" t="s">
        <v>15</v>
      </c>
      <c r="Q29" s="42"/>
      <c r="R29" s="42"/>
      <c r="S29" s="43">
        <v>32318.7</v>
      </c>
      <c r="U29" s="40" t="s">
        <v>15</v>
      </c>
      <c r="V29" s="42"/>
      <c r="W29" s="42"/>
      <c r="X29" s="43">
        <v>20798.04</v>
      </c>
      <c r="AA29" s="40" t="s">
        <v>15</v>
      </c>
      <c r="AB29" s="42"/>
      <c r="AC29" s="42"/>
      <c r="AD29" s="43">
        <v>62757.91</v>
      </c>
      <c r="AH29" s="40" t="s">
        <v>15</v>
      </c>
      <c r="AI29" s="42"/>
      <c r="AJ29" s="42"/>
      <c r="AK29" s="43">
        <v>79273</v>
      </c>
    </row>
    <row r="30" spans="1:37" ht="13.5" customHeight="1" thickBot="1">
      <c r="A30" s="44"/>
      <c r="B30" s="45"/>
      <c r="C30" s="45"/>
      <c r="D30" s="45"/>
      <c r="E30" s="45"/>
      <c r="F30" s="44"/>
      <c r="G30" s="45"/>
      <c r="H30" s="45"/>
      <c r="I30" s="45"/>
      <c r="J30" s="45"/>
      <c r="K30" s="44"/>
      <c r="L30" s="45"/>
      <c r="M30" s="45"/>
      <c r="N30" s="45"/>
      <c r="O30" s="45"/>
      <c r="P30" s="44"/>
      <c r="Q30" s="45"/>
      <c r="R30" s="45"/>
      <c r="S30" s="45"/>
      <c r="U30" s="44"/>
      <c r="V30" s="45"/>
      <c r="W30" s="45"/>
      <c r="X30" s="45"/>
      <c r="AA30" s="44"/>
      <c r="AB30" s="45"/>
      <c r="AC30" s="45"/>
      <c r="AD30" s="45"/>
      <c r="AH30" s="44"/>
      <c r="AI30" s="45"/>
      <c r="AJ30" s="45"/>
      <c r="AK30" s="45"/>
    </row>
    <row r="31" spans="2:37" ht="13.5" customHeight="1">
      <c r="B31" s="38"/>
      <c r="C31" s="38"/>
      <c r="D31" s="38"/>
      <c r="E31" s="38"/>
      <c r="G31" s="38"/>
      <c r="H31" s="38"/>
      <c r="I31" s="38"/>
      <c r="J31" s="38"/>
      <c r="L31" s="38"/>
      <c r="M31" s="38"/>
      <c r="N31" s="38"/>
      <c r="O31" s="38"/>
      <c r="Q31" s="38"/>
      <c r="R31" s="38"/>
      <c r="S31" s="38"/>
      <c r="AB31" s="38"/>
      <c r="AC31" s="38"/>
      <c r="AD31" s="38"/>
      <c r="AI31" s="38"/>
      <c r="AJ31" s="38"/>
      <c r="AK31" s="38"/>
    </row>
    <row r="32" spans="1:37" ht="13.5" customHeight="1">
      <c r="A32" s="46" t="s">
        <v>16</v>
      </c>
      <c r="B32" s="38"/>
      <c r="C32" s="38"/>
      <c r="D32" s="38"/>
      <c r="E32" s="38"/>
      <c r="F32" s="46" t="s">
        <v>16</v>
      </c>
      <c r="G32" s="38"/>
      <c r="H32" s="38"/>
      <c r="I32" s="38"/>
      <c r="J32" s="38"/>
      <c r="K32" s="46" t="s">
        <v>16</v>
      </c>
      <c r="L32" s="38"/>
      <c r="M32" s="38"/>
      <c r="N32" s="38"/>
      <c r="O32" s="38"/>
      <c r="P32" s="46" t="s">
        <v>16</v>
      </c>
      <c r="Q32" s="38"/>
      <c r="R32" s="38"/>
      <c r="S32" s="38"/>
      <c r="U32" s="46" t="s">
        <v>16</v>
      </c>
      <c r="AA32" s="46" t="s">
        <v>16</v>
      </c>
      <c r="AB32" s="38"/>
      <c r="AC32" s="38"/>
      <c r="AD32" s="38"/>
      <c r="AH32" s="46" t="s">
        <v>16</v>
      </c>
      <c r="AI32" s="38"/>
      <c r="AJ32" s="38"/>
      <c r="AK32" s="38"/>
    </row>
    <row r="33" spans="3:37" ht="13.5" customHeight="1">
      <c r="C33" s="38"/>
      <c r="D33" s="38"/>
      <c r="E33" s="38"/>
      <c r="H33" s="38"/>
      <c r="I33" s="38"/>
      <c r="J33" s="38"/>
      <c r="M33" s="38"/>
      <c r="N33" s="38"/>
      <c r="O33" s="38"/>
      <c r="R33" s="38"/>
      <c r="S33" s="38"/>
      <c r="AB33" s="38"/>
      <c r="AC33" s="38"/>
      <c r="AD33" s="38"/>
      <c r="AI33" s="38"/>
      <c r="AJ33" s="38"/>
      <c r="AK33" s="38"/>
    </row>
    <row r="34" spans="1:37" ht="13.5" customHeight="1">
      <c r="A34" s="46" t="s">
        <v>17</v>
      </c>
      <c r="B34" s="38"/>
      <c r="C34" s="38"/>
      <c r="D34" s="38"/>
      <c r="E34" s="38"/>
      <c r="F34" s="46" t="s">
        <v>17</v>
      </c>
      <c r="G34" s="38"/>
      <c r="H34" s="38"/>
      <c r="I34" s="38"/>
      <c r="J34" s="38"/>
      <c r="K34" s="46" t="s">
        <v>17</v>
      </c>
      <c r="L34" s="38"/>
      <c r="M34" s="38"/>
      <c r="N34" s="38"/>
      <c r="O34" s="38"/>
      <c r="P34" s="46" t="s">
        <v>17</v>
      </c>
      <c r="Q34" s="38"/>
      <c r="R34" s="38"/>
      <c r="S34" s="38"/>
      <c r="U34" s="46" t="s">
        <v>17</v>
      </c>
      <c r="AA34" s="46" t="s">
        <v>17</v>
      </c>
      <c r="AB34" s="38"/>
      <c r="AC34" s="38"/>
      <c r="AD34" s="38"/>
      <c r="AH34" s="46" t="s">
        <v>17</v>
      </c>
      <c r="AI34" s="38"/>
      <c r="AJ34" s="38"/>
      <c r="AK34" s="38"/>
    </row>
    <row r="35" spans="1:37" ht="13.5" customHeight="1">
      <c r="A35" s="39" t="s">
        <v>127</v>
      </c>
      <c r="B35" s="38"/>
      <c r="C35" s="38"/>
      <c r="D35" s="38">
        <f>+'B2014-16 R2011-15'!D35</f>
        <v>85207.92</v>
      </c>
      <c r="E35" s="38"/>
      <c r="F35" s="39" t="s">
        <v>127</v>
      </c>
      <c r="G35" s="38"/>
      <c r="H35" s="38"/>
      <c r="I35" s="38">
        <f>+'B2013-15 R2010-14'!D33</f>
        <v>77743.36</v>
      </c>
      <c r="J35" s="38"/>
      <c r="K35" s="39" t="s">
        <v>127</v>
      </c>
      <c r="L35" s="38"/>
      <c r="M35" s="38"/>
      <c r="N35" s="38">
        <v>75710.25</v>
      </c>
      <c r="O35" s="38"/>
      <c r="P35" s="39" t="s">
        <v>127</v>
      </c>
      <c r="Q35" s="38"/>
      <c r="R35" s="38"/>
      <c r="S35" s="38">
        <v>99770.51</v>
      </c>
      <c r="AB35" s="38"/>
      <c r="AC35" s="38"/>
      <c r="AD35" s="38"/>
      <c r="AI35" s="38"/>
      <c r="AJ35" s="38"/>
      <c r="AK35" s="38"/>
    </row>
    <row r="36" spans="1:37" ht="13.5" customHeight="1">
      <c r="A36" s="39" t="s">
        <v>126</v>
      </c>
      <c r="B36" s="38"/>
      <c r="C36" s="38"/>
      <c r="D36" s="38">
        <f>+'B2014-16 R2011-15'!D36</f>
        <v>102285.87</v>
      </c>
      <c r="E36" s="38"/>
      <c r="F36" s="39" t="s">
        <v>126</v>
      </c>
      <c r="G36" s="38"/>
      <c r="H36" s="38"/>
      <c r="I36" s="38">
        <f>+'B2013-15 R2010-14'!D34</f>
        <v>102124.29</v>
      </c>
      <c r="J36" s="38"/>
      <c r="K36" s="39" t="s">
        <v>126</v>
      </c>
      <c r="L36" s="38"/>
      <c r="M36" s="38"/>
      <c r="N36" s="38">
        <v>98381.52</v>
      </c>
      <c r="O36" s="38"/>
      <c r="P36" s="39" t="s">
        <v>126</v>
      </c>
      <c r="Q36" s="38"/>
      <c r="R36" s="38"/>
      <c r="S36" s="38">
        <v>95377.14</v>
      </c>
      <c r="U36" s="39" t="s">
        <v>18</v>
      </c>
      <c r="X36" s="41">
        <v>162828.95</v>
      </c>
      <c r="AA36" s="39" t="s">
        <v>18</v>
      </c>
      <c r="AB36" s="38"/>
      <c r="AC36" s="38"/>
      <c r="AD36" s="41">
        <v>144530.91</v>
      </c>
      <c r="AH36" s="39" t="s">
        <v>18</v>
      </c>
      <c r="AI36" s="38"/>
      <c r="AJ36" s="38"/>
      <c r="AK36" s="41">
        <v>79273</v>
      </c>
    </row>
    <row r="37" spans="1:37" ht="13.5" customHeight="1">
      <c r="A37" s="39" t="s">
        <v>162</v>
      </c>
      <c r="B37" s="38"/>
      <c r="C37" s="38"/>
      <c r="D37" s="38">
        <f>+'B2014-16 R2011-15'!D37</f>
        <v>110131.19</v>
      </c>
      <c r="E37" s="38"/>
      <c r="F37" s="39" t="s">
        <v>162</v>
      </c>
      <c r="G37" s="38"/>
      <c r="H37" s="38"/>
      <c r="I37" s="38">
        <f>+'B2013-15 R2010-14'!D35</f>
        <v>85048.08</v>
      </c>
      <c r="J37" s="38"/>
      <c r="K37" s="39" t="s">
        <v>162</v>
      </c>
      <c r="L37" s="38"/>
      <c r="M37" s="38"/>
      <c r="N37" s="38">
        <v>60000</v>
      </c>
      <c r="O37" s="38"/>
      <c r="Q37" s="38"/>
      <c r="R37" s="38"/>
      <c r="S37" s="38"/>
      <c r="X37" s="47"/>
      <c r="AB37" s="38"/>
      <c r="AC37" s="38"/>
      <c r="AD37" s="47"/>
      <c r="AI37" s="38"/>
      <c r="AJ37" s="38"/>
      <c r="AK37" s="47"/>
    </row>
    <row r="38" spans="2:37" ht="13.5" customHeight="1">
      <c r="B38" s="38"/>
      <c r="C38" s="38"/>
      <c r="D38" s="38"/>
      <c r="E38" s="38"/>
      <c r="G38" s="38"/>
      <c r="H38" s="38"/>
      <c r="I38" s="38"/>
      <c r="J38" s="38"/>
      <c r="L38" s="38"/>
      <c r="M38" s="38"/>
      <c r="N38" s="38"/>
      <c r="O38" s="38"/>
      <c r="Q38" s="38"/>
      <c r="R38" s="38"/>
      <c r="S38" s="38"/>
      <c r="AB38" s="38"/>
      <c r="AC38" s="38"/>
      <c r="AD38" s="38"/>
      <c r="AI38" s="38"/>
      <c r="AJ38" s="38"/>
      <c r="AK38" s="38"/>
    </row>
    <row r="39" spans="1:37" ht="13.5" customHeight="1" thickBot="1">
      <c r="A39" s="40" t="s">
        <v>19</v>
      </c>
      <c r="B39" s="42"/>
      <c r="C39" s="42"/>
      <c r="D39" s="43">
        <f>+D35+D36+D37</f>
        <v>297624.98</v>
      </c>
      <c r="E39" s="107"/>
      <c r="F39" s="40" t="s">
        <v>19</v>
      </c>
      <c r="G39" s="42"/>
      <c r="H39" s="42"/>
      <c r="I39" s="43">
        <f>+I35+I36+I37</f>
        <v>264915.73</v>
      </c>
      <c r="J39" s="107"/>
      <c r="K39" s="40" t="s">
        <v>19</v>
      </c>
      <c r="L39" s="42"/>
      <c r="M39" s="42"/>
      <c r="N39" s="43">
        <f>+N35+N36+N37</f>
        <v>234091.77000000002</v>
      </c>
      <c r="O39" s="107"/>
      <c r="P39" s="40" t="s">
        <v>19</v>
      </c>
      <c r="Q39" s="42"/>
      <c r="R39" s="42"/>
      <c r="S39" s="43">
        <v>195147.65</v>
      </c>
      <c r="U39" s="40" t="s">
        <v>19</v>
      </c>
      <c r="V39" s="42"/>
      <c r="W39" s="42"/>
      <c r="X39" s="43">
        <v>162828.95</v>
      </c>
      <c r="AA39" s="40" t="s">
        <v>19</v>
      </c>
      <c r="AB39" s="42"/>
      <c r="AC39" s="42"/>
      <c r="AD39" s="43">
        <v>144530.91</v>
      </c>
      <c r="AH39" s="40" t="s">
        <v>19</v>
      </c>
      <c r="AI39" s="42"/>
      <c r="AJ39" s="42"/>
      <c r="AK39" s="43">
        <v>79273</v>
      </c>
    </row>
    <row r="40" spans="2:37" ht="13.5" customHeight="1">
      <c r="B40" s="38"/>
      <c r="C40" s="38"/>
      <c r="D40" s="38"/>
      <c r="E40" s="38"/>
      <c r="G40" s="38"/>
      <c r="H40" s="38"/>
      <c r="I40" s="38"/>
      <c r="J40" s="38"/>
      <c r="L40" s="38"/>
      <c r="M40" s="38"/>
      <c r="N40" s="38"/>
      <c r="O40" s="38"/>
      <c r="Q40" s="38"/>
      <c r="R40" s="38"/>
      <c r="S40" s="38"/>
      <c r="AB40" s="38"/>
      <c r="AC40" s="38"/>
      <c r="AD40" s="38"/>
      <c r="AI40" s="38"/>
      <c r="AJ40" s="38"/>
      <c r="AK40" s="38"/>
    </row>
    <row r="41" spans="1:37" ht="13.5" customHeight="1">
      <c r="A41" s="46" t="s">
        <v>20</v>
      </c>
      <c r="B41" s="38"/>
      <c r="C41" s="38"/>
      <c r="D41" s="38"/>
      <c r="E41" s="38"/>
      <c r="F41" s="46" t="s">
        <v>20</v>
      </c>
      <c r="G41" s="38"/>
      <c r="H41" s="38"/>
      <c r="I41" s="38"/>
      <c r="J41" s="38"/>
      <c r="K41" s="46" t="s">
        <v>20</v>
      </c>
      <c r="L41" s="38"/>
      <c r="M41" s="38"/>
      <c r="N41" s="38"/>
      <c r="O41" s="38"/>
      <c r="P41" s="46" t="s">
        <v>20</v>
      </c>
      <c r="Q41" s="38"/>
      <c r="R41" s="38"/>
      <c r="S41" s="38"/>
      <c r="U41" s="46" t="s">
        <v>20</v>
      </c>
      <c r="AA41" s="46" t="s">
        <v>20</v>
      </c>
      <c r="AB41" s="38"/>
      <c r="AC41" s="38"/>
      <c r="AD41" s="38"/>
      <c r="AH41" s="46" t="s">
        <v>20</v>
      </c>
      <c r="AI41" s="38"/>
      <c r="AJ41" s="38"/>
      <c r="AK41" s="38"/>
    </row>
    <row r="42" spans="2:37" ht="13.5" customHeight="1">
      <c r="B42" s="38"/>
      <c r="C42" s="38"/>
      <c r="D42" s="38"/>
      <c r="E42" s="38"/>
      <c r="G42" s="38"/>
      <c r="H42" s="38"/>
      <c r="I42" s="38"/>
      <c r="J42" s="38"/>
      <c r="L42" s="38"/>
      <c r="M42" s="38"/>
      <c r="N42" s="38"/>
      <c r="O42" s="38"/>
      <c r="Q42" s="38"/>
      <c r="R42" s="38"/>
      <c r="S42" s="38"/>
      <c r="AA42" s="39" t="s">
        <v>21</v>
      </c>
      <c r="AB42" s="38"/>
      <c r="AC42" s="38"/>
      <c r="AD42" s="38">
        <v>2500</v>
      </c>
      <c r="AI42" s="38"/>
      <c r="AJ42" s="38"/>
      <c r="AK42" s="38">
        <v>0</v>
      </c>
    </row>
    <row r="43" spans="1:37" ht="13.5" customHeight="1">
      <c r="A43" s="39" t="s">
        <v>22</v>
      </c>
      <c r="B43" s="38"/>
      <c r="C43" s="38"/>
      <c r="D43" s="38"/>
      <c r="E43" s="38"/>
      <c r="F43" s="39" t="s">
        <v>22</v>
      </c>
      <c r="G43" s="38"/>
      <c r="H43" s="38"/>
      <c r="I43" s="38"/>
      <c r="J43" s="38"/>
      <c r="K43" s="39" t="s">
        <v>22</v>
      </c>
      <c r="L43" s="38"/>
      <c r="M43" s="38"/>
      <c r="N43" s="38"/>
      <c r="O43" s="38"/>
      <c r="P43" s="39" t="s">
        <v>22</v>
      </c>
      <c r="Q43" s="38"/>
      <c r="R43" s="38"/>
      <c r="S43" s="38"/>
      <c r="U43" s="39" t="s">
        <v>22</v>
      </c>
      <c r="AA43" s="39" t="s">
        <v>22</v>
      </c>
      <c r="AB43" s="38"/>
      <c r="AC43" s="38"/>
      <c r="AD43" s="38"/>
      <c r="AH43" s="39" t="s">
        <v>22</v>
      </c>
      <c r="AI43" s="38"/>
      <c r="AJ43" s="38"/>
      <c r="AK43" s="38"/>
    </row>
    <row r="44" spans="1:37" ht="13.5" customHeight="1">
      <c r="A44" s="39" t="s">
        <v>23</v>
      </c>
      <c r="B44" s="38">
        <f>+I46</f>
        <v>84915.72999999998</v>
      </c>
      <c r="C44" s="38"/>
      <c r="D44" s="38"/>
      <c r="E44" s="38"/>
      <c r="F44" s="39" t="s">
        <v>23</v>
      </c>
      <c r="G44" s="38">
        <f>+N46</f>
        <v>79091.76999999999</v>
      </c>
      <c r="H44" s="38"/>
      <c r="I44" s="38"/>
      <c r="J44" s="38"/>
      <c r="K44" s="39" t="s">
        <v>23</v>
      </c>
      <c r="L44" s="38">
        <f>+S46</f>
        <v>100147.65</v>
      </c>
      <c r="M44" s="38"/>
      <c r="N44" s="38"/>
      <c r="O44" s="38"/>
      <c r="P44" s="39" t="s">
        <v>23</v>
      </c>
      <c r="Q44" s="38">
        <v>162828.95</v>
      </c>
      <c r="R44" s="38"/>
      <c r="S44" s="38"/>
      <c r="U44" s="39" t="s">
        <v>23</v>
      </c>
      <c r="V44" s="38">
        <v>142030.91</v>
      </c>
      <c r="AA44" s="39" t="s">
        <v>23</v>
      </c>
      <c r="AB44" s="38">
        <v>79273</v>
      </c>
      <c r="AC44" s="38"/>
      <c r="AD44" s="38"/>
      <c r="AH44" s="39" t="s">
        <v>23</v>
      </c>
      <c r="AI44" s="38">
        <v>0</v>
      </c>
      <c r="AJ44" s="38"/>
      <c r="AK44" s="38"/>
    </row>
    <row r="45" spans="1:37" ht="13.5" customHeight="1">
      <c r="A45" s="39" t="s">
        <v>128</v>
      </c>
      <c r="B45" s="38">
        <f>-'B2014-16 R2011-15'!D31</f>
        <v>-25000</v>
      </c>
      <c r="C45" s="38"/>
      <c r="D45" s="38"/>
      <c r="E45" s="38"/>
      <c r="F45" s="39" t="s">
        <v>128</v>
      </c>
      <c r="G45" s="38">
        <f>-'B2013-15 R2010-14'!D28</f>
        <v>-25000</v>
      </c>
      <c r="H45" s="38"/>
      <c r="I45" s="38"/>
      <c r="J45" s="38"/>
      <c r="K45" s="39" t="s">
        <v>128</v>
      </c>
      <c r="L45" s="38">
        <v>-60000</v>
      </c>
      <c r="M45" s="38"/>
      <c r="N45" s="38"/>
      <c r="O45" s="38"/>
      <c r="P45" s="39" t="s">
        <v>128</v>
      </c>
      <c r="Q45" s="38">
        <v>-95000</v>
      </c>
      <c r="R45" s="38"/>
      <c r="S45" s="38"/>
      <c r="AB45" s="38"/>
      <c r="AC45" s="38"/>
      <c r="AD45" s="38"/>
      <c r="AI45" s="38"/>
      <c r="AJ45" s="38"/>
      <c r="AK45" s="38"/>
    </row>
    <row r="46" spans="1:37" ht="13.5" customHeight="1">
      <c r="A46" s="39" t="s">
        <v>13</v>
      </c>
      <c r="B46" s="41">
        <f>+D29</f>
        <v>32709.25</v>
      </c>
      <c r="C46" s="47"/>
      <c r="D46" s="47">
        <f>SUM(B44:B46)</f>
        <v>92624.97999999998</v>
      </c>
      <c r="E46" s="47"/>
      <c r="F46" s="39" t="s">
        <v>13</v>
      </c>
      <c r="G46" s="41">
        <f>+I29</f>
        <v>30823.96</v>
      </c>
      <c r="H46" s="47"/>
      <c r="I46" s="47">
        <f>SUM(G44:G46)</f>
        <v>84915.72999999998</v>
      </c>
      <c r="J46" s="47"/>
      <c r="K46" s="39" t="s">
        <v>13</v>
      </c>
      <c r="L46" s="41">
        <f>+N29</f>
        <v>38944.12</v>
      </c>
      <c r="M46" s="47"/>
      <c r="N46" s="47">
        <f>SUM(L44:L46)</f>
        <v>79091.76999999999</v>
      </c>
      <c r="O46" s="47"/>
      <c r="P46" s="39" t="s">
        <v>13</v>
      </c>
      <c r="Q46" s="41">
        <v>32318.7</v>
      </c>
      <c r="R46" s="47"/>
      <c r="S46" s="47">
        <v>100147.65</v>
      </c>
      <c r="U46" s="39" t="s">
        <v>13</v>
      </c>
      <c r="V46" s="41">
        <v>20798.04</v>
      </c>
      <c r="X46" s="41">
        <v>162828.95</v>
      </c>
      <c r="AA46" s="39" t="s">
        <v>13</v>
      </c>
      <c r="AB46" s="41">
        <v>62757.91</v>
      </c>
      <c r="AC46" s="38"/>
      <c r="AD46" s="41">
        <v>142030.91</v>
      </c>
      <c r="AH46" s="39" t="s">
        <v>13</v>
      </c>
      <c r="AI46" s="41">
        <v>79273</v>
      </c>
      <c r="AJ46" s="38"/>
      <c r="AK46" s="41">
        <v>79273</v>
      </c>
    </row>
    <row r="47" spans="2:37" ht="13.5" customHeight="1">
      <c r="B47" s="47"/>
      <c r="C47" s="47"/>
      <c r="D47" s="47"/>
      <c r="E47" s="47"/>
      <c r="G47" s="47"/>
      <c r="H47" s="47"/>
      <c r="I47" s="47"/>
      <c r="J47" s="47"/>
      <c r="L47" s="47"/>
      <c r="M47" s="47"/>
      <c r="N47" s="47"/>
      <c r="O47" s="47"/>
      <c r="Q47" s="47"/>
      <c r="R47" s="47"/>
      <c r="S47" s="47"/>
      <c r="V47" s="47"/>
      <c r="X47" s="47"/>
      <c r="AB47" s="47"/>
      <c r="AC47" s="38"/>
      <c r="AD47" s="47"/>
      <c r="AI47" s="47"/>
      <c r="AJ47" s="38"/>
      <c r="AK47" s="47"/>
    </row>
    <row r="48" spans="1:37" ht="13.5" customHeight="1">
      <c r="A48" s="39" t="s">
        <v>193</v>
      </c>
      <c r="B48" s="47"/>
      <c r="C48" s="47"/>
      <c r="D48" s="41">
        <f>+I48+25000</f>
        <v>205000</v>
      </c>
      <c r="E48" s="47"/>
      <c r="F48" s="39" t="s">
        <v>193</v>
      </c>
      <c r="G48" s="47"/>
      <c r="H48" s="47"/>
      <c r="I48" s="41">
        <f>+N48+25000</f>
        <v>180000</v>
      </c>
      <c r="J48" s="47"/>
      <c r="K48" s="39" t="s">
        <v>129</v>
      </c>
      <c r="L48" s="47"/>
      <c r="M48" s="47"/>
      <c r="N48" s="41">
        <f>+N37+S48</f>
        <v>155000</v>
      </c>
      <c r="O48" s="47"/>
      <c r="P48" s="39" t="s">
        <v>129</v>
      </c>
      <c r="Q48" s="47"/>
      <c r="R48" s="47"/>
      <c r="S48" s="41">
        <v>95000</v>
      </c>
      <c r="AB48" s="38"/>
      <c r="AC48" s="38"/>
      <c r="AD48" s="38"/>
      <c r="AI48" s="38"/>
      <c r="AJ48" s="38"/>
      <c r="AK48" s="38"/>
    </row>
    <row r="49" spans="2:37" ht="13.5" customHeight="1">
      <c r="B49" s="47"/>
      <c r="C49" s="38"/>
      <c r="D49" s="38"/>
      <c r="E49" s="38"/>
      <c r="G49" s="47"/>
      <c r="H49" s="38"/>
      <c r="I49" s="38"/>
      <c r="J49" s="38"/>
      <c r="L49" s="47"/>
      <c r="M49" s="38"/>
      <c r="N49" s="38"/>
      <c r="O49" s="38"/>
      <c r="Q49" s="47"/>
      <c r="R49" s="38"/>
      <c r="S49" s="38"/>
      <c r="AB49" s="38"/>
      <c r="AC49" s="38"/>
      <c r="AD49" s="38"/>
      <c r="AI49" s="38"/>
      <c r="AJ49" s="38"/>
      <c r="AK49" s="38"/>
    </row>
    <row r="50" spans="1:37" ht="13.5" customHeight="1" thickBot="1">
      <c r="A50" s="40" t="s">
        <v>24</v>
      </c>
      <c r="B50" s="42"/>
      <c r="C50" s="42"/>
      <c r="D50" s="43">
        <f>SUM(D42:D48)</f>
        <v>297624.98</v>
      </c>
      <c r="E50" s="107"/>
      <c r="F50" s="40" t="s">
        <v>24</v>
      </c>
      <c r="G50" s="42"/>
      <c r="H50" s="42"/>
      <c r="I50" s="43">
        <f>SUM(I42:I48)</f>
        <v>264915.73</v>
      </c>
      <c r="J50" s="107"/>
      <c r="K50" s="40" t="s">
        <v>24</v>
      </c>
      <c r="L50" s="42"/>
      <c r="M50" s="42"/>
      <c r="N50" s="43">
        <f>SUM(N42:N48)</f>
        <v>234091.77</v>
      </c>
      <c r="O50" s="107"/>
      <c r="P50" s="40" t="s">
        <v>24</v>
      </c>
      <c r="Q50" s="42"/>
      <c r="R50" s="42"/>
      <c r="S50" s="43">
        <v>195147.65</v>
      </c>
      <c r="U50" s="40" t="s">
        <v>24</v>
      </c>
      <c r="V50" s="42"/>
      <c r="W50" s="42"/>
      <c r="X50" s="43">
        <v>162828.95</v>
      </c>
      <c r="AA50" s="40" t="s">
        <v>24</v>
      </c>
      <c r="AB50" s="42"/>
      <c r="AC50" s="42"/>
      <c r="AD50" s="43">
        <v>144530.91</v>
      </c>
      <c r="AH50" s="40" t="s">
        <v>24</v>
      </c>
      <c r="AI50" s="42"/>
      <c r="AJ50" s="42"/>
      <c r="AK50" s="43">
        <v>79273</v>
      </c>
    </row>
    <row r="51" spans="2:37" ht="13.5" customHeight="1">
      <c r="B51" s="38"/>
      <c r="C51" s="38"/>
      <c r="D51" s="38"/>
      <c r="E51" s="38"/>
      <c r="G51" s="38"/>
      <c r="H51" s="38"/>
      <c r="I51" s="38"/>
      <c r="J51" s="38"/>
      <c r="L51" s="38"/>
      <c r="M51" s="38"/>
      <c r="N51" s="38"/>
      <c r="O51" s="38"/>
      <c r="Q51" s="38"/>
      <c r="R51" s="38"/>
      <c r="S51" s="38"/>
      <c r="AB51" s="38"/>
      <c r="AC51" s="38"/>
      <c r="AD51" s="38"/>
      <c r="AI51" s="38"/>
      <c r="AJ51" s="38"/>
      <c r="AK51" s="38"/>
    </row>
    <row r="52" spans="2:37" ht="13.5" customHeight="1">
      <c r="B52" s="38"/>
      <c r="C52" s="38"/>
      <c r="D52" s="38"/>
      <c r="E52" s="38"/>
      <c r="G52" s="38">
        <f>+I50-I39</f>
        <v>0</v>
      </c>
      <c r="H52" s="38"/>
      <c r="I52" s="38"/>
      <c r="J52" s="38"/>
      <c r="L52" s="38"/>
      <c r="M52" s="38"/>
      <c r="N52" s="38"/>
      <c r="O52" s="38"/>
      <c r="Q52" s="38"/>
      <c r="R52" s="38"/>
      <c r="S52" s="38"/>
      <c r="AB52" s="38"/>
      <c r="AC52" s="38"/>
      <c r="AD52" s="38"/>
      <c r="AI52" s="38"/>
      <c r="AJ52" s="38"/>
      <c r="AK52" s="38"/>
    </row>
    <row r="53" spans="2:37" ht="13.5" customHeight="1">
      <c r="B53" s="38"/>
      <c r="C53" s="38"/>
      <c r="D53" s="38"/>
      <c r="E53" s="38"/>
      <c r="G53" s="38"/>
      <c r="H53" s="38"/>
      <c r="I53" s="38"/>
      <c r="J53" s="38"/>
      <c r="L53" s="38"/>
      <c r="M53" s="38"/>
      <c r="N53" s="38"/>
      <c r="O53" s="38"/>
      <c r="P53" s="39" t="s">
        <v>153</v>
      </c>
      <c r="Q53" s="38"/>
      <c r="R53" s="38"/>
      <c r="S53" s="38"/>
      <c r="U53" s="39" t="s">
        <v>34</v>
      </c>
      <c r="AA53" s="39" t="s">
        <v>25</v>
      </c>
      <c r="AB53" s="38"/>
      <c r="AC53" s="38"/>
      <c r="AD53" s="38"/>
      <c r="AH53" s="39" t="s">
        <v>25</v>
      </c>
      <c r="AI53" s="38"/>
      <c r="AJ53" s="38"/>
      <c r="AK53" s="38"/>
    </row>
    <row r="54" spans="2:37" ht="13.5" customHeight="1">
      <c r="B54" s="38"/>
      <c r="C54" s="38"/>
      <c r="D54" s="38"/>
      <c r="E54" s="38"/>
      <c r="G54" s="38"/>
      <c r="H54" s="38"/>
      <c r="I54" s="38"/>
      <c r="J54" s="38"/>
      <c r="L54" s="38"/>
      <c r="M54" s="38"/>
      <c r="N54" s="38"/>
      <c r="O54" s="38"/>
      <c r="Q54" s="38"/>
      <c r="R54" s="38"/>
      <c r="S54" s="38"/>
      <c r="AB54" s="38"/>
      <c r="AC54" s="38"/>
      <c r="AD54" s="38"/>
      <c r="AI54" s="38"/>
      <c r="AJ54" s="38"/>
      <c r="AK54" s="38"/>
    </row>
    <row r="55" spans="2:37" ht="13.5" customHeight="1">
      <c r="B55" s="38"/>
      <c r="C55" s="38"/>
      <c r="D55" s="38"/>
      <c r="E55" s="38"/>
      <c r="G55" s="38"/>
      <c r="H55" s="38"/>
      <c r="I55" s="38"/>
      <c r="J55" s="38"/>
      <c r="L55" s="38"/>
      <c r="M55" s="38"/>
      <c r="N55" s="38"/>
      <c r="O55" s="38"/>
      <c r="P55" s="48"/>
      <c r="Q55" s="38"/>
      <c r="R55" s="38"/>
      <c r="S55" s="38"/>
      <c r="U55" s="48"/>
      <c r="AA55" s="48"/>
      <c r="AB55" s="38"/>
      <c r="AC55" s="38"/>
      <c r="AD55" s="38"/>
      <c r="AH55" s="48"/>
      <c r="AI55" s="38"/>
      <c r="AJ55" s="38"/>
      <c r="AK55" s="38"/>
    </row>
    <row r="56" spans="1:37" ht="13.5" customHeight="1">
      <c r="A56" s="39" t="s">
        <v>164</v>
      </c>
      <c r="B56" s="38"/>
      <c r="C56" s="39" t="s">
        <v>165</v>
      </c>
      <c r="D56" s="38"/>
      <c r="E56" s="38"/>
      <c r="F56" s="39" t="s">
        <v>164</v>
      </c>
      <c r="G56" s="38"/>
      <c r="H56" s="39" t="s">
        <v>165</v>
      </c>
      <c r="I56" s="38"/>
      <c r="J56" s="38"/>
      <c r="K56" s="39" t="s">
        <v>164</v>
      </c>
      <c r="L56" s="38"/>
      <c r="M56" s="39" t="s">
        <v>165</v>
      </c>
      <c r="N56" s="38"/>
      <c r="O56" s="38"/>
      <c r="P56" s="39" t="s">
        <v>35</v>
      </c>
      <c r="Q56" s="38"/>
      <c r="R56" s="38"/>
      <c r="S56" s="38"/>
      <c r="U56" s="39" t="s">
        <v>35</v>
      </c>
      <c r="AA56" s="39" t="s">
        <v>26</v>
      </c>
      <c r="AB56" s="38"/>
      <c r="AC56" s="38"/>
      <c r="AD56" s="38"/>
      <c r="AH56" s="39" t="s">
        <v>26</v>
      </c>
      <c r="AI56" s="38"/>
      <c r="AJ56" s="38"/>
      <c r="AK56" s="38"/>
    </row>
    <row r="57" spans="2:19" ht="13.5" customHeight="1">
      <c r="B57" s="38"/>
      <c r="D57" s="38"/>
      <c r="E57" s="38"/>
      <c r="G57" s="38"/>
      <c r="I57" s="38"/>
      <c r="J57" s="38"/>
      <c r="L57" s="38"/>
      <c r="N57" s="38"/>
      <c r="O57" s="38"/>
      <c r="Q57" s="38"/>
      <c r="R57" s="38"/>
      <c r="S57" s="38"/>
    </row>
    <row r="58" spans="1:19" ht="13.5" customHeight="1">
      <c r="A58" s="48"/>
      <c r="B58" s="38"/>
      <c r="C58" s="48"/>
      <c r="D58" s="41"/>
      <c r="E58" s="41"/>
      <c r="F58" s="48"/>
      <c r="G58" s="38"/>
      <c r="H58" s="48"/>
      <c r="I58" s="41"/>
      <c r="J58" s="41"/>
      <c r="K58" s="48"/>
      <c r="L58" s="38"/>
      <c r="M58" s="48"/>
      <c r="N58" s="41"/>
      <c r="O58" s="41"/>
      <c r="Q58" s="38"/>
      <c r="R58" s="38"/>
      <c r="S58" s="38"/>
    </row>
    <row r="59" spans="1:27" ht="13.5" customHeight="1">
      <c r="A59" s="39" t="s">
        <v>35</v>
      </c>
      <c r="B59" s="38"/>
      <c r="C59" s="39" t="s">
        <v>27</v>
      </c>
      <c r="D59" s="38"/>
      <c r="E59" s="38"/>
      <c r="F59" s="39" t="s">
        <v>35</v>
      </c>
      <c r="G59" s="38"/>
      <c r="H59" s="39" t="s">
        <v>27</v>
      </c>
      <c r="I59" s="38"/>
      <c r="J59" s="38"/>
      <c r="K59" s="39" t="s">
        <v>35</v>
      </c>
      <c r="L59" s="38"/>
      <c r="M59" s="39" t="s">
        <v>27</v>
      </c>
      <c r="N59" s="38"/>
      <c r="O59" s="38"/>
      <c r="P59" s="39" t="s">
        <v>154</v>
      </c>
      <c r="Q59" s="38"/>
      <c r="R59" s="39" t="s">
        <v>154</v>
      </c>
      <c r="S59" s="38"/>
      <c r="U59" s="39" t="s">
        <v>108</v>
      </c>
      <c r="AA59" s="39" t="s">
        <v>107</v>
      </c>
    </row>
    <row r="60" spans="2:19" ht="13.5" customHeight="1">
      <c r="B60" s="38"/>
      <c r="D60" s="38"/>
      <c r="E60" s="38"/>
      <c r="G60" s="38"/>
      <c r="I60" s="38"/>
      <c r="J60" s="38"/>
      <c r="L60" s="38"/>
      <c r="N60" s="38"/>
      <c r="O60" s="38"/>
      <c r="Q60" s="38"/>
      <c r="S60" s="38"/>
    </row>
    <row r="61" spans="2:27" ht="13.5" customHeight="1">
      <c r="B61" s="38"/>
      <c r="G61" s="38"/>
      <c r="L61" s="38"/>
      <c r="P61" s="48"/>
      <c r="Q61" s="38"/>
      <c r="R61" s="48"/>
      <c r="S61" s="41"/>
      <c r="T61" s="48"/>
      <c r="U61" s="48"/>
      <c r="AA61" s="48"/>
    </row>
    <row r="62" spans="7:27" ht="13.5" customHeight="1">
      <c r="G62" s="38"/>
      <c r="I62" s="38"/>
      <c r="J62" s="38"/>
      <c r="L62" s="38"/>
      <c r="N62" s="38"/>
      <c r="O62" s="38"/>
      <c r="P62" s="39" t="s">
        <v>27</v>
      </c>
      <c r="Q62" s="38"/>
      <c r="R62" s="39" t="s">
        <v>130</v>
      </c>
      <c r="S62" s="38"/>
      <c r="U62" s="39" t="s">
        <v>27</v>
      </c>
      <c r="AA62" s="39" t="s">
        <v>27</v>
      </c>
    </row>
    <row r="63" spans="17:19" ht="13.5" customHeight="1">
      <c r="Q63" s="38"/>
      <c r="R63" s="38"/>
      <c r="S63" s="38"/>
    </row>
  </sheetData>
  <sheetProtection/>
  <printOptions/>
  <pageMargins left="0.7" right="0.7" top="0.75" bottom="0.75" header="0.3" footer="0.3"/>
  <pageSetup horizontalDpi="300" verticalDpi="300" orientation="portrait" paperSize="9" scale="85" r:id="rId1"/>
  <rowBreaks count="1" manualBreakCount="1">
    <brk id="63"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6">
      <selection activeCell="D12" sqref="D12"/>
    </sheetView>
  </sheetViews>
  <sheetFormatPr defaultColWidth="9.28125" defaultRowHeight="15"/>
  <cols>
    <col min="1" max="1" width="34.57421875" style="31" customWidth="1"/>
    <col min="2" max="6" width="15.57421875" style="31" customWidth="1"/>
    <col min="7" max="7" width="15.57421875" style="30" customWidth="1"/>
    <col min="8" max="9" width="15.57421875" style="31" customWidth="1"/>
    <col min="10" max="16384" width="9.28125" style="31" customWidth="1"/>
  </cols>
  <sheetData>
    <row r="1" ht="15">
      <c r="A1" s="122" t="s">
        <v>0</v>
      </c>
    </row>
    <row r="2" spans="1:9" ht="36" customHeight="1">
      <c r="A2" s="124"/>
      <c r="B2" s="234" t="s">
        <v>198</v>
      </c>
      <c r="C2" s="235"/>
      <c r="D2" s="237" t="s">
        <v>199</v>
      </c>
      <c r="E2" s="238"/>
      <c r="F2" s="239"/>
      <c r="G2" s="120"/>
      <c r="H2" s="120"/>
      <c r="I2" s="121"/>
    </row>
    <row r="3" spans="1:9" ht="16.5" customHeight="1">
      <c r="A3" s="61"/>
      <c r="B3" s="62" t="s">
        <v>190</v>
      </c>
      <c r="C3" s="108" t="s">
        <v>181</v>
      </c>
      <c r="D3" s="62" t="s">
        <v>202</v>
      </c>
      <c r="E3" s="64" t="s">
        <v>180</v>
      </c>
      <c r="F3" s="63" t="s">
        <v>160</v>
      </c>
      <c r="G3" s="64" t="s">
        <v>115</v>
      </c>
      <c r="H3" s="64" t="s">
        <v>85</v>
      </c>
      <c r="I3" s="63" t="s">
        <v>86</v>
      </c>
    </row>
    <row r="4" spans="1:9" ht="16.5" customHeight="1">
      <c r="A4" s="32"/>
      <c r="B4" s="65"/>
      <c r="C4" s="109"/>
      <c r="D4" s="79"/>
      <c r="E4" s="67"/>
      <c r="F4" s="68"/>
      <c r="G4" s="67"/>
      <c r="H4" s="67"/>
      <c r="I4" s="68"/>
    </row>
    <row r="5" spans="1:9" ht="16.5" customHeight="1">
      <c r="A5" s="32" t="s">
        <v>2</v>
      </c>
      <c r="B5" s="69">
        <f>SUM(B6:B8)</f>
        <v>69400</v>
      </c>
      <c r="C5" s="110">
        <f>SUM(C6:C8)</f>
        <v>70900</v>
      </c>
      <c r="D5" s="69">
        <f>SUM(D6:D8)</f>
        <v>70853.03</v>
      </c>
      <c r="E5" s="71">
        <f>SUM(E6:E8)</f>
        <v>71385.86</v>
      </c>
      <c r="F5" s="70">
        <f>SUM(F6:F8)</f>
        <v>95079.76000000001</v>
      </c>
      <c r="G5" s="71">
        <v>94352.57</v>
      </c>
      <c r="H5" s="71">
        <v>103121.14</v>
      </c>
      <c r="I5" s="70">
        <v>92520.88</v>
      </c>
    </row>
    <row r="6" spans="1:9" ht="16.5" customHeight="1">
      <c r="A6" s="37" t="s">
        <v>188</v>
      </c>
      <c r="B6" s="123">
        <f>46*B39</f>
        <v>69000</v>
      </c>
      <c r="C6" s="111">
        <f>46*C39+1500</f>
        <v>70500</v>
      </c>
      <c r="D6" s="72">
        <f>47*1500</f>
        <v>70500</v>
      </c>
      <c r="E6" s="74">
        <f>45*1500</f>
        <v>67500</v>
      </c>
      <c r="F6" s="73">
        <f>46*2000</f>
        <v>92000</v>
      </c>
      <c r="G6" s="74">
        <v>93800</v>
      </c>
      <c r="H6" s="74">
        <v>103000</v>
      </c>
      <c r="I6" s="73">
        <v>92400</v>
      </c>
    </row>
    <row r="7" spans="1:9" ht="16.5" customHeight="1">
      <c r="A7" s="33" t="s">
        <v>117</v>
      </c>
      <c r="B7" s="75">
        <v>100</v>
      </c>
      <c r="C7" s="112">
        <v>100</v>
      </c>
      <c r="D7" s="79">
        <v>108.34</v>
      </c>
      <c r="E7" s="67">
        <v>95.01</v>
      </c>
      <c r="F7" s="68">
        <v>75.38</v>
      </c>
      <c r="G7" s="67">
        <v>175.43</v>
      </c>
      <c r="H7" s="67">
        <v>121.14</v>
      </c>
      <c r="I7" s="68">
        <v>120.88</v>
      </c>
    </row>
    <row r="8" spans="1:9" ht="16.5" customHeight="1">
      <c r="A8" s="37" t="s">
        <v>189</v>
      </c>
      <c r="B8" s="76">
        <v>300</v>
      </c>
      <c r="C8" s="113">
        <v>300</v>
      </c>
      <c r="D8" s="103">
        <f>161.58+83.11</f>
        <v>244.69</v>
      </c>
      <c r="E8" s="78">
        <f>3099.02+636.06+7.69+48.08</f>
        <v>3790.85</v>
      </c>
      <c r="F8" s="77">
        <v>3004.38</v>
      </c>
      <c r="G8" s="78">
        <v>377.14</v>
      </c>
      <c r="H8" s="78"/>
      <c r="I8" s="77"/>
    </row>
    <row r="9" spans="1:9" ht="16.5" customHeight="1">
      <c r="A9" s="35"/>
      <c r="B9" s="75"/>
      <c r="C9" s="112"/>
      <c r="D9" s="102"/>
      <c r="E9" s="83"/>
      <c r="F9" s="82"/>
      <c r="G9" s="83"/>
      <c r="H9" s="83"/>
      <c r="I9" s="82"/>
    </row>
    <row r="10" spans="1:9" ht="16.5" customHeight="1">
      <c r="A10" s="32" t="s">
        <v>5</v>
      </c>
      <c r="B10" s="69">
        <f>SUM(B11:B26)</f>
        <v>69050</v>
      </c>
      <c r="C10" s="110">
        <f>SUM(C11:C26)</f>
        <v>56300</v>
      </c>
      <c r="D10" s="69">
        <f>SUM(D11:D26)</f>
        <v>38143.78</v>
      </c>
      <c r="E10" s="71">
        <f>SUM(E11:E26)</f>
        <v>40561.9</v>
      </c>
      <c r="F10" s="70">
        <f>SUM(F11:F26)</f>
        <v>56135.64</v>
      </c>
      <c r="G10" s="71">
        <v>62033.87</v>
      </c>
      <c r="H10" s="71">
        <v>82323.1</v>
      </c>
      <c r="I10" s="70">
        <v>29762.97</v>
      </c>
    </row>
    <row r="11" spans="1:9" ht="16.5" customHeight="1">
      <c r="A11" s="37" t="s">
        <v>31</v>
      </c>
      <c r="B11" s="72">
        <v>250</v>
      </c>
      <c r="C11" s="111">
        <v>200</v>
      </c>
      <c r="D11" s="72">
        <v>231.75</v>
      </c>
      <c r="E11" s="74">
        <v>198.75</v>
      </c>
      <c r="F11" s="73">
        <v>198.75</v>
      </c>
      <c r="G11" s="74">
        <v>198.75</v>
      </c>
      <c r="H11" s="74">
        <v>198.75</v>
      </c>
      <c r="I11" s="73">
        <v>198.75</v>
      </c>
    </row>
    <row r="12" spans="1:9" ht="16.5" customHeight="1">
      <c r="A12" s="33" t="s">
        <v>169</v>
      </c>
      <c r="B12" s="79"/>
      <c r="C12" s="114"/>
      <c r="D12" s="79">
        <v>-1370.34</v>
      </c>
      <c r="E12" s="67">
        <v>0</v>
      </c>
      <c r="F12" s="68">
        <v>9013.37</v>
      </c>
      <c r="G12" s="67">
        <v>14667.21</v>
      </c>
      <c r="H12" s="67">
        <v>16268.27</v>
      </c>
      <c r="I12" s="68">
        <v>16394.74</v>
      </c>
    </row>
    <row r="13" spans="1:9" ht="16.5" customHeight="1">
      <c r="A13" s="37" t="s">
        <v>135</v>
      </c>
      <c r="B13" s="72"/>
      <c r="C13" s="111"/>
      <c r="D13" s="72">
        <v>0</v>
      </c>
      <c r="E13" s="74">
        <v>464.77</v>
      </c>
      <c r="F13" s="73">
        <v>1305.75</v>
      </c>
      <c r="G13" s="74">
        <v>1341.64</v>
      </c>
      <c r="H13" s="74">
        <v>1083.44</v>
      </c>
      <c r="I13" s="73"/>
    </row>
    <row r="14" spans="1:9" ht="16.5" customHeight="1">
      <c r="A14" s="33" t="s">
        <v>112</v>
      </c>
      <c r="B14" s="79"/>
      <c r="C14" s="114"/>
      <c r="D14" s="79">
        <v>0</v>
      </c>
      <c r="E14" s="67">
        <v>0</v>
      </c>
      <c r="F14" s="68">
        <v>7477.13</v>
      </c>
      <c r="G14" s="67">
        <v>8885.27</v>
      </c>
      <c r="H14" s="67"/>
      <c r="I14" s="68"/>
    </row>
    <row r="15" spans="1:9" ht="16.5" customHeight="1">
      <c r="A15" s="37" t="s">
        <v>203</v>
      </c>
      <c r="B15" s="72">
        <v>20000</v>
      </c>
      <c r="C15" s="111"/>
      <c r="D15" s="72">
        <v>0</v>
      </c>
      <c r="E15" s="74">
        <v>0</v>
      </c>
      <c r="F15" s="73"/>
      <c r="G15" s="74"/>
      <c r="H15" s="74"/>
      <c r="I15" s="80"/>
    </row>
    <row r="16" spans="1:9" ht="16.5" customHeight="1">
      <c r="A16" s="33" t="s">
        <v>55</v>
      </c>
      <c r="B16" s="79">
        <v>7700</v>
      </c>
      <c r="C16" s="114">
        <v>7500</v>
      </c>
      <c r="D16" s="79">
        <v>7508</v>
      </c>
      <c r="E16" s="67">
        <v>7370</v>
      </c>
      <c r="F16" s="68">
        <v>7232</v>
      </c>
      <c r="G16" s="67">
        <v>7048</v>
      </c>
      <c r="H16" s="67">
        <v>5450</v>
      </c>
      <c r="I16" s="68"/>
    </row>
    <row r="17" spans="1:9" ht="16.5" customHeight="1">
      <c r="A17" s="37" t="s">
        <v>8</v>
      </c>
      <c r="B17" s="72">
        <v>10000</v>
      </c>
      <c r="C17" s="111">
        <v>20000</v>
      </c>
      <c r="D17" s="72">
        <v>4339.07</v>
      </c>
      <c r="E17" s="74">
        <v>4692.19</v>
      </c>
      <c r="F17" s="73">
        <v>6535.94</v>
      </c>
      <c r="G17" s="74">
        <v>2710.5</v>
      </c>
      <c r="H17" s="74">
        <v>36165.64</v>
      </c>
      <c r="I17" s="73">
        <v>8185.48</v>
      </c>
    </row>
    <row r="18" spans="1:9" ht="16.5" customHeight="1">
      <c r="A18" s="33" t="s">
        <v>131</v>
      </c>
      <c r="B18" s="79">
        <v>18000</v>
      </c>
      <c r="C18" s="114">
        <v>18000</v>
      </c>
      <c r="D18" s="79">
        <f>20956.25-D19</f>
        <v>17456.25</v>
      </c>
      <c r="E18" s="67">
        <f>20956.25-E19</f>
        <v>17456.25</v>
      </c>
      <c r="F18" s="68">
        <v>13781.25</v>
      </c>
      <c r="G18" s="67">
        <v>17718.75</v>
      </c>
      <c r="H18" s="67">
        <v>14875</v>
      </c>
      <c r="I18" s="68"/>
    </row>
    <row r="19" spans="1:9" ht="16.5" customHeight="1">
      <c r="A19" s="37" t="s">
        <v>207</v>
      </c>
      <c r="B19" s="72">
        <v>3500</v>
      </c>
      <c r="C19" s="111">
        <v>3500</v>
      </c>
      <c r="D19" s="72">
        <f>1.25*2800</f>
        <v>3500</v>
      </c>
      <c r="E19" s="74">
        <f>1.25*2800</f>
        <v>3500</v>
      </c>
      <c r="F19" s="73">
        <v>3500</v>
      </c>
      <c r="G19" s="74">
        <v>3500</v>
      </c>
      <c r="H19" s="74"/>
      <c r="I19" s="73"/>
    </row>
    <row r="20" spans="1:9" ht="16.5" customHeight="1">
      <c r="A20" s="33" t="s">
        <v>208</v>
      </c>
      <c r="B20" s="79">
        <v>1500</v>
      </c>
      <c r="C20" s="114"/>
      <c r="D20" s="79"/>
      <c r="E20" s="67"/>
      <c r="F20" s="68"/>
      <c r="G20" s="67"/>
      <c r="H20" s="67"/>
      <c r="I20" s="68"/>
    </row>
    <row r="21" spans="1:9" ht="16.5" customHeight="1">
      <c r="A21" s="37" t="s">
        <v>9</v>
      </c>
      <c r="B21" s="72">
        <v>1000</v>
      </c>
      <c r="C21" s="111">
        <v>1000</v>
      </c>
      <c r="D21" s="72">
        <v>440</v>
      </c>
      <c r="E21" s="74">
        <v>683.15</v>
      </c>
      <c r="F21" s="73">
        <v>440</v>
      </c>
      <c r="G21" s="74">
        <v>845</v>
      </c>
      <c r="H21" s="74">
        <v>2450</v>
      </c>
      <c r="I21" s="80">
        <v>1700</v>
      </c>
    </row>
    <row r="22" spans="1:9" ht="16.5" customHeight="1">
      <c r="A22" s="33" t="s">
        <v>133</v>
      </c>
      <c r="B22" s="79">
        <v>5000</v>
      </c>
      <c r="C22" s="114">
        <v>5000</v>
      </c>
      <c r="D22" s="79">
        <v>5039.05</v>
      </c>
      <c r="E22" s="67">
        <v>5187.79</v>
      </c>
      <c r="F22" s="68">
        <v>5651.45</v>
      </c>
      <c r="G22" s="67">
        <v>3000</v>
      </c>
      <c r="H22" s="67">
        <v>5050</v>
      </c>
      <c r="I22" s="68">
        <v>2500</v>
      </c>
    </row>
    <row r="23" spans="1:9" ht="16.5" customHeight="1">
      <c r="A23" s="37" t="s">
        <v>196</v>
      </c>
      <c r="B23" s="72"/>
      <c r="C23" s="111"/>
      <c r="D23" s="72"/>
      <c r="E23" s="74"/>
      <c r="F23" s="73">
        <v>0</v>
      </c>
      <c r="G23" s="74">
        <v>0</v>
      </c>
      <c r="H23" s="74">
        <v>629</v>
      </c>
      <c r="I23" s="73"/>
    </row>
    <row r="24" spans="1:9" ht="16.5" customHeight="1">
      <c r="A24" s="33" t="s">
        <v>11</v>
      </c>
      <c r="B24" s="79">
        <v>1100</v>
      </c>
      <c r="C24" s="114">
        <v>1100</v>
      </c>
      <c r="D24" s="79">
        <v>1000</v>
      </c>
      <c r="E24" s="67">
        <v>1009</v>
      </c>
      <c r="F24" s="68">
        <v>1000</v>
      </c>
      <c r="G24" s="67">
        <v>25</v>
      </c>
      <c r="H24" s="67">
        <v>153</v>
      </c>
      <c r="I24" s="68">
        <v>116</v>
      </c>
    </row>
    <row r="25" spans="1:9" ht="16.5" customHeight="1">
      <c r="A25" s="37" t="s">
        <v>209</v>
      </c>
      <c r="B25" s="72">
        <v>1000</v>
      </c>
      <c r="C25" s="111"/>
      <c r="D25" s="72"/>
      <c r="E25" s="74"/>
      <c r="F25" s="73"/>
      <c r="G25" s="74">
        <v>2093.75</v>
      </c>
      <c r="H25" s="74"/>
      <c r="I25" s="73"/>
    </row>
    <row r="26" spans="1:9" ht="16.5" customHeight="1">
      <c r="A26" s="131" t="s">
        <v>12</v>
      </c>
      <c r="B26" s="139"/>
      <c r="C26" s="132"/>
      <c r="D26" s="140"/>
      <c r="E26" s="141"/>
      <c r="F26" s="142">
        <v>0</v>
      </c>
      <c r="G26" s="141">
        <v>0</v>
      </c>
      <c r="H26" s="141">
        <v>0</v>
      </c>
      <c r="I26" s="143">
        <v>668</v>
      </c>
    </row>
    <row r="27" spans="1:9" ht="16.5" customHeight="1">
      <c r="A27" s="35"/>
      <c r="B27" s="81"/>
      <c r="C27" s="115"/>
      <c r="D27" s="102"/>
      <c r="E27" s="83"/>
      <c r="F27" s="82"/>
      <c r="G27" s="83"/>
      <c r="H27" s="83"/>
      <c r="I27" s="82"/>
    </row>
    <row r="28" spans="1:9" ht="16.5" customHeight="1">
      <c r="A28" s="36" t="s">
        <v>13</v>
      </c>
      <c r="B28" s="84">
        <f>+B5-B10</f>
        <v>350</v>
      </c>
      <c r="C28" s="116">
        <f>+C5-C10</f>
        <v>14600</v>
      </c>
      <c r="D28" s="84">
        <f>+D5-D10</f>
        <v>32709.25</v>
      </c>
      <c r="E28" s="86">
        <f>+E5-E10</f>
        <v>30823.96</v>
      </c>
      <c r="F28" s="85">
        <f>+F5-F10</f>
        <v>38944.12000000001</v>
      </c>
      <c r="G28" s="86">
        <v>32318.7</v>
      </c>
      <c r="H28" s="86">
        <v>20798.04</v>
      </c>
      <c r="I28" s="85">
        <v>62757.91</v>
      </c>
    </row>
    <row r="29" spans="1:9" ht="16.5" customHeight="1">
      <c r="A29" s="35"/>
      <c r="B29" s="81"/>
      <c r="C29" s="115"/>
      <c r="D29" s="102"/>
      <c r="E29" s="83"/>
      <c r="F29" s="82"/>
      <c r="G29" s="83"/>
      <c r="H29" s="83"/>
      <c r="I29" s="82"/>
    </row>
    <row r="30" spans="1:9" ht="16.5" customHeight="1">
      <c r="A30" s="32" t="s">
        <v>119</v>
      </c>
      <c r="B30" s="69">
        <f>SUM(B31:B32)</f>
        <v>15000</v>
      </c>
      <c r="C30" s="110">
        <f>SUM(C31:C32)</f>
        <v>25000</v>
      </c>
      <c r="D30" s="69">
        <f>SUM(D31:D32)</f>
        <v>25000</v>
      </c>
      <c r="E30" s="71">
        <f>SUM(E31:E32)</f>
        <v>25000</v>
      </c>
      <c r="F30" s="70">
        <f>SUM(F31:F32)</f>
        <v>60000</v>
      </c>
      <c r="G30" s="71">
        <v>40000</v>
      </c>
      <c r="H30" s="71">
        <v>35000</v>
      </c>
      <c r="I30" s="70">
        <v>20000</v>
      </c>
    </row>
    <row r="31" spans="1:9" ht="16.5" customHeight="1">
      <c r="A31" s="37" t="s">
        <v>53</v>
      </c>
      <c r="B31" s="87">
        <v>15000</v>
      </c>
      <c r="C31" s="117">
        <v>25000</v>
      </c>
      <c r="D31" s="87">
        <v>25000</v>
      </c>
      <c r="E31" s="88">
        <v>90000</v>
      </c>
      <c r="F31" s="80">
        <v>45000</v>
      </c>
      <c r="G31" s="88">
        <v>25000</v>
      </c>
      <c r="H31" s="88">
        <v>20000</v>
      </c>
      <c r="I31" s="80"/>
    </row>
    <row r="32" spans="1:9" ht="16.5" customHeight="1">
      <c r="A32" s="33" t="s">
        <v>52</v>
      </c>
      <c r="B32" s="75"/>
      <c r="C32" s="112"/>
      <c r="D32" s="75">
        <v>0</v>
      </c>
      <c r="E32" s="90">
        <v>-65000</v>
      </c>
      <c r="F32" s="89">
        <v>15000</v>
      </c>
      <c r="G32" s="90">
        <v>15000</v>
      </c>
      <c r="H32" s="90">
        <v>15000</v>
      </c>
      <c r="I32" s="89">
        <v>20000</v>
      </c>
    </row>
    <row r="33" spans="1:9" ht="16.5" customHeight="1">
      <c r="A33" s="98"/>
      <c r="B33" s="81"/>
      <c r="C33" s="115"/>
      <c r="D33" s="102"/>
      <c r="E33" s="83"/>
      <c r="F33" s="82"/>
      <c r="G33" s="83"/>
      <c r="H33" s="83"/>
      <c r="I33" s="82"/>
    </row>
    <row r="34" spans="1:9" ht="16.5" customHeight="1">
      <c r="A34" s="97" t="s">
        <v>122</v>
      </c>
      <c r="B34" s="69">
        <f>+D34+B28</f>
        <v>297974.98000000004</v>
      </c>
      <c r="C34" s="110">
        <f>+F34+C28</f>
        <v>248691.77000000002</v>
      </c>
      <c r="D34" s="69">
        <f>+D28+E34</f>
        <v>297624.98000000004</v>
      </c>
      <c r="E34" s="71">
        <f>+E28+F34</f>
        <v>264915.73000000004</v>
      </c>
      <c r="F34" s="70">
        <f>+F28+G34</f>
        <v>234091.77000000002</v>
      </c>
      <c r="G34" s="71">
        <v>195147.65</v>
      </c>
      <c r="H34" s="71">
        <v>162828.95</v>
      </c>
      <c r="I34" s="70">
        <v>142030.91</v>
      </c>
    </row>
    <row r="35" spans="1:9" ht="16.5" customHeight="1">
      <c r="A35" s="99" t="s">
        <v>120</v>
      </c>
      <c r="B35" s="72">
        <f>+D35-B31+B28</f>
        <v>70557.92</v>
      </c>
      <c r="C35" s="111">
        <f>+C34-C36-C37</f>
        <v>65010.25</v>
      </c>
      <c r="D35" s="72">
        <v>85207.92</v>
      </c>
      <c r="E35" s="74">
        <v>77743.36</v>
      </c>
      <c r="F35" s="73">
        <f>+F34-F37-F36</f>
        <v>75710.25000000001</v>
      </c>
      <c r="G35" s="74">
        <v>99770.51</v>
      </c>
      <c r="H35" s="74">
        <v>162828.95</v>
      </c>
      <c r="I35" s="73">
        <v>142030.91</v>
      </c>
    </row>
    <row r="36" spans="1:9" ht="16.5" customHeight="1">
      <c r="A36" s="99" t="s">
        <v>197</v>
      </c>
      <c r="B36" s="72">
        <f>+D36</f>
        <v>102285.87</v>
      </c>
      <c r="C36" s="111">
        <f>+F36+C8</f>
        <v>98681.52</v>
      </c>
      <c r="D36" s="72">
        <v>102285.87</v>
      </c>
      <c r="E36" s="74">
        <v>102124.29</v>
      </c>
      <c r="F36" s="73">
        <v>98381.52</v>
      </c>
      <c r="G36" s="74">
        <v>95377.14</v>
      </c>
      <c r="H36" s="74"/>
      <c r="I36" s="73"/>
    </row>
    <row r="37" spans="1:9" ht="16.5" customHeight="1">
      <c r="A37" s="100" t="s">
        <v>166</v>
      </c>
      <c r="B37" s="92">
        <f>+D37+B31</f>
        <v>125131.19</v>
      </c>
      <c r="C37" s="118">
        <f>+F37+C30</f>
        <v>85000</v>
      </c>
      <c r="D37" s="92">
        <v>110131.19</v>
      </c>
      <c r="E37" s="94">
        <v>85048.08</v>
      </c>
      <c r="F37" s="93">
        <f>60000</f>
        <v>60000</v>
      </c>
      <c r="G37" s="94"/>
      <c r="H37" s="94"/>
      <c r="I37" s="93"/>
    </row>
    <row r="38" spans="1:9" ht="16.5" customHeight="1">
      <c r="A38" s="35"/>
      <c r="B38" s="81"/>
      <c r="C38" s="115"/>
      <c r="D38" s="102"/>
      <c r="E38" s="83"/>
      <c r="F38" s="82"/>
      <c r="G38" s="83"/>
      <c r="H38" s="83"/>
      <c r="I38" s="82"/>
    </row>
    <row r="39" spans="1:9" ht="16.5" customHeight="1">
      <c r="A39" s="32" t="s">
        <v>134</v>
      </c>
      <c r="B39" s="69">
        <v>1500</v>
      </c>
      <c r="C39" s="110">
        <v>1500</v>
      </c>
      <c r="D39" s="69">
        <v>1500</v>
      </c>
      <c r="E39" s="71">
        <v>1500</v>
      </c>
      <c r="F39" s="70">
        <v>2000</v>
      </c>
      <c r="G39" s="71">
        <v>2000</v>
      </c>
      <c r="H39" s="71">
        <v>2000</v>
      </c>
      <c r="I39" s="70">
        <v>1800</v>
      </c>
    </row>
    <row r="40" spans="1:9" ht="16.5" customHeight="1">
      <c r="A40" s="34"/>
      <c r="B40" s="95"/>
      <c r="C40" s="119"/>
      <c r="D40" s="92"/>
      <c r="E40" s="94"/>
      <c r="F40" s="93"/>
      <c r="G40" s="94"/>
      <c r="H40" s="94"/>
      <c r="I40" s="93"/>
    </row>
    <row r="41" ht="19.5" customHeight="1">
      <c r="A41" s="31" t="s">
        <v>206</v>
      </c>
    </row>
    <row r="42" spans="1:9" ht="21.75" customHeight="1">
      <c r="A42" s="236" t="s">
        <v>205</v>
      </c>
      <c r="B42" s="236"/>
      <c r="C42" s="236"/>
      <c r="D42" s="236"/>
      <c r="E42" s="236"/>
      <c r="F42" s="236"/>
      <c r="G42" s="236"/>
      <c r="H42" s="236"/>
      <c r="I42" s="236"/>
    </row>
    <row r="43" ht="12.75" customHeight="1">
      <c r="A43" s="31" t="s">
        <v>204</v>
      </c>
    </row>
    <row r="45" spans="1:5" ht="12.75">
      <c r="A45" s="31" t="s">
        <v>195</v>
      </c>
      <c r="B45" s="31" t="s">
        <v>173</v>
      </c>
      <c r="C45" s="105">
        <f>+F30+G30+H30+I30+E30+D30</f>
        <v>205000</v>
      </c>
      <c r="D45" s="105"/>
      <c r="E45" s="105"/>
    </row>
    <row r="47" spans="1:3" ht="12.75">
      <c r="A47" s="31" t="s">
        <v>210</v>
      </c>
      <c r="C47" s="105">
        <v>700000</v>
      </c>
    </row>
    <row r="49" spans="1:3" ht="12.75">
      <c r="A49" s="31" t="s">
        <v>211</v>
      </c>
      <c r="C49" s="101">
        <f>+C47-C45</f>
        <v>495000</v>
      </c>
    </row>
    <row r="51" spans="1:3" ht="12.75">
      <c r="A51" s="31" t="s">
        <v>212</v>
      </c>
      <c r="C51" s="101">
        <f>+C49/20</f>
        <v>24750</v>
      </c>
    </row>
    <row r="53" spans="1:3" ht="12.75">
      <c r="A53" s="31" t="s">
        <v>213</v>
      </c>
      <c r="C53" s="101">
        <f>+B5-C51</f>
        <v>44650</v>
      </c>
    </row>
  </sheetData>
  <sheetProtection/>
  <mergeCells count="3">
    <mergeCell ref="B2:C2"/>
    <mergeCell ref="A42:I42"/>
    <mergeCell ref="D2:F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F20" sqref="F20"/>
    </sheetView>
  </sheetViews>
  <sheetFormatPr defaultColWidth="9.28125" defaultRowHeight="15"/>
  <cols>
    <col min="1" max="1" width="40.00390625" style="31" customWidth="1"/>
    <col min="2" max="5" width="21.28125" style="31" customWidth="1"/>
    <col min="6" max="6" width="21.28125" style="30" customWidth="1"/>
    <col min="7" max="8" width="21.28125" style="31" customWidth="1"/>
    <col min="9" max="16384" width="9.28125" style="31" customWidth="1"/>
  </cols>
  <sheetData>
    <row r="1" spans="1:8" ht="12.75">
      <c r="A1" s="52" t="s">
        <v>0</v>
      </c>
      <c r="B1" s="240" t="s">
        <v>171</v>
      </c>
      <c r="C1" s="241"/>
      <c r="D1" s="1"/>
      <c r="E1" s="242" t="s">
        <v>179</v>
      </c>
      <c r="F1" s="238"/>
      <c r="G1" s="238"/>
      <c r="H1" s="239"/>
    </row>
    <row r="2" spans="1:8" ht="16.5" customHeight="1">
      <c r="A2" s="61"/>
      <c r="B2" s="62" t="s">
        <v>181</v>
      </c>
      <c r="C2" s="108" t="s">
        <v>167</v>
      </c>
      <c r="D2" s="64" t="s">
        <v>180</v>
      </c>
      <c r="E2" s="64" t="s">
        <v>160</v>
      </c>
      <c r="F2" s="64" t="s">
        <v>115</v>
      </c>
      <c r="G2" s="64" t="s">
        <v>85</v>
      </c>
      <c r="H2" s="63" t="s">
        <v>86</v>
      </c>
    </row>
    <row r="3" spans="1:8" ht="16.5" customHeight="1">
      <c r="A3" s="32"/>
      <c r="B3" s="65"/>
      <c r="C3" s="109"/>
      <c r="D3" s="67"/>
      <c r="E3" s="67"/>
      <c r="F3" s="67"/>
      <c r="G3" s="67"/>
      <c r="H3" s="68"/>
    </row>
    <row r="4" spans="1:8" ht="16.5" customHeight="1">
      <c r="A4" s="32" t="s">
        <v>2</v>
      </c>
      <c r="B4" s="69">
        <f>SUM(B5:B7)</f>
        <v>70900</v>
      </c>
      <c r="C4" s="110">
        <f>SUM(C5:C7)</f>
        <v>72100</v>
      </c>
      <c r="D4" s="71">
        <f>SUM(D5:D7)</f>
        <v>71385.86</v>
      </c>
      <c r="E4" s="71">
        <f>SUM(E5:E7)</f>
        <v>95079.76000000001</v>
      </c>
      <c r="F4" s="71">
        <v>94352.57</v>
      </c>
      <c r="G4" s="71">
        <v>103121.14</v>
      </c>
      <c r="H4" s="70">
        <v>92520.88</v>
      </c>
    </row>
    <row r="5" spans="1:8" ht="16.5" customHeight="1">
      <c r="A5" s="37" t="s">
        <v>188</v>
      </c>
      <c r="B5" s="72">
        <f>46*B37+1500</f>
        <v>70500</v>
      </c>
      <c r="C5" s="111">
        <f>46*C37</f>
        <v>69000</v>
      </c>
      <c r="D5" s="74">
        <f>45*1500</f>
        <v>67500</v>
      </c>
      <c r="E5" s="74">
        <f>46*2000</f>
        <v>92000</v>
      </c>
      <c r="F5" s="74">
        <v>93800</v>
      </c>
      <c r="G5" s="74">
        <v>103000</v>
      </c>
      <c r="H5" s="73">
        <v>92400</v>
      </c>
    </row>
    <row r="6" spans="1:8" ht="16.5" customHeight="1">
      <c r="A6" s="33" t="s">
        <v>117</v>
      </c>
      <c r="B6" s="75">
        <v>100</v>
      </c>
      <c r="C6" s="112">
        <v>100</v>
      </c>
      <c r="D6" s="67">
        <v>95.01</v>
      </c>
      <c r="E6" s="67">
        <v>75.38</v>
      </c>
      <c r="F6" s="67">
        <v>175.43</v>
      </c>
      <c r="G6" s="67">
        <v>121.14</v>
      </c>
      <c r="H6" s="68">
        <v>120.88</v>
      </c>
    </row>
    <row r="7" spans="1:8" ht="16.5" customHeight="1">
      <c r="A7" s="37" t="s">
        <v>118</v>
      </c>
      <c r="B7" s="76">
        <v>300</v>
      </c>
      <c r="C7" s="113">
        <v>3000</v>
      </c>
      <c r="D7" s="78">
        <f>3099.02+636.06+7.69+48.08</f>
        <v>3790.85</v>
      </c>
      <c r="E7" s="78">
        <v>3004.38</v>
      </c>
      <c r="F7" s="78">
        <v>377.14</v>
      </c>
      <c r="G7" s="78"/>
      <c r="H7" s="77"/>
    </row>
    <row r="8" spans="1:8" ht="16.5" customHeight="1">
      <c r="A8" s="35"/>
      <c r="B8" s="75"/>
      <c r="C8" s="112"/>
      <c r="D8" s="83"/>
      <c r="E8" s="83"/>
      <c r="F8" s="83"/>
      <c r="G8" s="83"/>
      <c r="H8" s="82"/>
    </row>
    <row r="9" spans="1:8" ht="16.5" customHeight="1">
      <c r="A9" s="32" t="s">
        <v>5</v>
      </c>
      <c r="B9" s="69">
        <f>SUM(B10:B24)</f>
        <v>56300</v>
      </c>
      <c r="C9" s="110">
        <f>SUM(C10:C24)</f>
        <v>53500</v>
      </c>
      <c r="D9" s="71">
        <f>SUM(D10:D24)</f>
        <v>40561.9</v>
      </c>
      <c r="E9" s="71">
        <f>SUM(E10:E24)</f>
        <v>56135.64</v>
      </c>
      <c r="F9" s="71">
        <v>62033.87</v>
      </c>
      <c r="G9" s="71">
        <v>82323.1</v>
      </c>
      <c r="H9" s="70">
        <v>29762.97</v>
      </c>
    </row>
    <row r="10" spans="1:8" ht="16.5" customHeight="1">
      <c r="A10" s="37" t="s">
        <v>31</v>
      </c>
      <c r="B10" s="72">
        <v>200</v>
      </c>
      <c r="C10" s="111">
        <v>200</v>
      </c>
      <c r="D10" s="74">
        <v>198.75</v>
      </c>
      <c r="E10" s="74">
        <v>198.75</v>
      </c>
      <c r="F10" s="74">
        <v>198.75</v>
      </c>
      <c r="G10" s="74">
        <v>198.75</v>
      </c>
      <c r="H10" s="73">
        <v>198.75</v>
      </c>
    </row>
    <row r="11" spans="1:8" ht="16.5" customHeight="1">
      <c r="A11" s="33" t="s">
        <v>169</v>
      </c>
      <c r="B11" s="79"/>
      <c r="C11" s="114"/>
      <c r="D11" s="67">
        <v>0</v>
      </c>
      <c r="E11" s="67">
        <v>9013.37</v>
      </c>
      <c r="F11" s="67">
        <v>14667.21</v>
      </c>
      <c r="G11" s="67">
        <v>16268.27</v>
      </c>
      <c r="H11" s="68">
        <v>16394.74</v>
      </c>
    </row>
    <row r="12" spans="1:8" ht="16.5" customHeight="1">
      <c r="A12" s="37" t="s">
        <v>135</v>
      </c>
      <c r="B12" s="72"/>
      <c r="C12" s="111"/>
      <c r="D12" s="74">
        <v>464.77</v>
      </c>
      <c r="E12" s="74">
        <v>1305.75</v>
      </c>
      <c r="F12" s="74">
        <v>1341.64</v>
      </c>
      <c r="G12" s="74">
        <v>1083.44</v>
      </c>
      <c r="H12" s="73"/>
    </row>
    <row r="13" spans="1:8" ht="16.5" customHeight="1">
      <c r="A13" s="33" t="s">
        <v>112</v>
      </c>
      <c r="B13" s="79"/>
      <c r="C13" s="114"/>
      <c r="D13" s="67">
        <v>0</v>
      </c>
      <c r="E13" s="67">
        <v>7477.13</v>
      </c>
      <c r="F13" s="67">
        <v>8885.27</v>
      </c>
      <c r="G13" s="67"/>
      <c r="H13" s="68"/>
    </row>
    <row r="14" spans="1:8" ht="16.5" customHeight="1">
      <c r="A14" s="37" t="s">
        <v>36</v>
      </c>
      <c r="B14" s="72"/>
      <c r="C14" s="111"/>
      <c r="D14" s="74">
        <v>0</v>
      </c>
      <c r="E14" s="74"/>
      <c r="F14" s="74"/>
      <c r="G14" s="74"/>
      <c r="H14" s="80"/>
    </row>
    <row r="15" spans="1:8" ht="16.5" customHeight="1">
      <c r="A15" s="33" t="s">
        <v>55</v>
      </c>
      <c r="B15" s="79">
        <v>7500</v>
      </c>
      <c r="C15" s="114">
        <v>7300</v>
      </c>
      <c r="D15" s="67">
        <v>7370</v>
      </c>
      <c r="E15" s="67">
        <v>7232</v>
      </c>
      <c r="F15" s="67">
        <v>7048</v>
      </c>
      <c r="G15" s="67">
        <v>5450</v>
      </c>
      <c r="H15" s="68"/>
    </row>
    <row r="16" spans="1:8" ht="16.5" customHeight="1">
      <c r="A16" s="37" t="s">
        <v>8</v>
      </c>
      <c r="B16" s="72">
        <v>20000</v>
      </c>
      <c r="C16" s="111">
        <v>20000</v>
      </c>
      <c r="D16" s="74">
        <v>4692.19</v>
      </c>
      <c r="E16" s="74">
        <v>6535.94</v>
      </c>
      <c r="F16" s="74">
        <v>2710.5</v>
      </c>
      <c r="G16" s="74">
        <v>36165.64</v>
      </c>
      <c r="H16" s="73">
        <v>8185.48</v>
      </c>
    </row>
    <row r="17" spans="1:8" ht="16.5" customHeight="1">
      <c r="A17" s="33" t="s">
        <v>131</v>
      </c>
      <c r="B17" s="79">
        <v>18000</v>
      </c>
      <c r="C17" s="114">
        <v>15000</v>
      </c>
      <c r="D17" s="67">
        <f>20956.25-D18</f>
        <v>17456.25</v>
      </c>
      <c r="E17" s="67">
        <v>13781.25</v>
      </c>
      <c r="F17" s="67">
        <v>17718.75</v>
      </c>
      <c r="G17" s="67">
        <v>14875</v>
      </c>
      <c r="H17" s="68"/>
    </row>
    <row r="18" spans="1:8" ht="16.5" customHeight="1">
      <c r="A18" s="37" t="s">
        <v>132</v>
      </c>
      <c r="B18" s="72">
        <v>3500</v>
      </c>
      <c r="C18" s="111">
        <v>3500</v>
      </c>
      <c r="D18" s="74">
        <f>1.25*2800</f>
        <v>3500</v>
      </c>
      <c r="E18" s="74">
        <v>3500</v>
      </c>
      <c r="F18" s="74">
        <v>3500</v>
      </c>
      <c r="G18" s="74"/>
      <c r="H18" s="73"/>
    </row>
    <row r="19" spans="1:8" ht="16.5" customHeight="1">
      <c r="A19" s="33" t="s">
        <v>9</v>
      </c>
      <c r="B19" s="79">
        <v>1000</v>
      </c>
      <c r="C19" s="114">
        <v>1000</v>
      </c>
      <c r="D19" s="67">
        <v>683.15</v>
      </c>
      <c r="E19" s="67">
        <v>440</v>
      </c>
      <c r="F19" s="67">
        <v>845</v>
      </c>
      <c r="G19" s="67">
        <v>2450</v>
      </c>
      <c r="H19" s="68">
        <v>1700</v>
      </c>
    </row>
    <row r="20" spans="1:8" ht="16.5" customHeight="1">
      <c r="A20" s="37" t="s">
        <v>133</v>
      </c>
      <c r="B20" s="72">
        <v>5000</v>
      </c>
      <c r="C20" s="111">
        <v>5000</v>
      </c>
      <c r="D20" s="74">
        <v>5187.79</v>
      </c>
      <c r="E20" s="74">
        <v>5651.45</v>
      </c>
      <c r="F20" s="74">
        <v>3000</v>
      </c>
      <c r="G20" s="74">
        <v>5050</v>
      </c>
      <c r="H20" s="80">
        <v>2500</v>
      </c>
    </row>
    <row r="21" spans="1:8" ht="16.5" customHeight="1">
      <c r="A21" s="33" t="s">
        <v>50</v>
      </c>
      <c r="B21" s="79"/>
      <c r="C21" s="114">
        <v>500</v>
      </c>
      <c r="D21" s="67"/>
      <c r="E21" s="67">
        <v>0</v>
      </c>
      <c r="F21" s="67">
        <v>0</v>
      </c>
      <c r="G21" s="67">
        <v>629</v>
      </c>
      <c r="H21" s="68"/>
    </row>
    <row r="22" spans="1:8" ht="16.5" customHeight="1">
      <c r="A22" s="37" t="s">
        <v>11</v>
      </c>
      <c r="B22" s="72">
        <v>1100</v>
      </c>
      <c r="C22" s="111">
        <v>1000</v>
      </c>
      <c r="D22" s="74">
        <v>1009</v>
      </c>
      <c r="E22" s="74">
        <v>1000</v>
      </c>
      <c r="F22" s="74">
        <v>25</v>
      </c>
      <c r="G22" s="74">
        <v>153</v>
      </c>
      <c r="H22" s="73">
        <v>116</v>
      </c>
    </row>
    <row r="23" spans="1:8" ht="16.5" customHeight="1">
      <c r="A23" s="33" t="s">
        <v>123</v>
      </c>
      <c r="B23" s="79"/>
      <c r="C23" s="114"/>
      <c r="D23" s="67"/>
      <c r="E23" s="67"/>
      <c r="F23" s="67">
        <v>2093.75</v>
      </c>
      <c r="G23" s="67"/>
      <c r="H23" s="68"/>
    </row>
    <row r="24" spans="1:8" ht="16.5" customHeight="1">
      <c r="A24" s="37" t="s">
        <v>12</v>
      </c>
      <c r="B24" s="72"/>
      <c r="C24" s="111"/>
      <c r="D24" s="78"/>
      <c r="E24" s="78">
        <v>0</v>
      </c>
      <c r="F24" s="78">
        <v>0</v>
      </c>
      <c r="G24" s="78">
        <v>0</v>
      </c>
      <c r="H24" s="104">
        <v>668</v>
      </c>
    </row>
    <row r="25" spans="1:8" ht="16.5" customHeight="1">
      <c r="A25" s="35"/>
      <c r="B25" s="81"/>
      <c r="C25" s="115"/>
      <c r="D25" s="83"/>
      <c r="E25" s="83"/>
      <c r="F25" s="83"/>
      <c r="G25" s="83"/>
      <c r="H25" s="82"/>
    </row>
    <row r="26" spans="1:8" ht="16.5" customHeight="1">
      <c r="A26" s="36" t="s">
        <v>13</v>
      </c>
      <c r="B26" s="84">
        <f>+B4-B9</f>
        <v>14600</v>
      </c>
      <c r="C26" s="116">
        <f>+C4-C9</f>
        <v>18600</v>
      </c>
      <c r="D26" s="86">
        <f>+D4-D9</f>
        <v>30823.96</v>
      </c>
      <c r="E26" s="86">
        <f>+E4-E9</f>
        <v>38944.12000000001</v>
      </c>
      <c r="F26" s="86">
        <v>32318.7</v>
      </c>
      <c r="G26" s="86">
        <v>20798.04</v>
      </c>
      <c r="H26" s="85">
        <v>62757.91</v>
      </c>
    </row>
    <row r="27" spans="1:8" ht="16.5" customHeight="1">
      <c r="A27" s="35"/>
      <c r="B27" s="81"/>
      <c r="C27" s="115"/>
      <c r="D27" s="83"/>
      <c r="E27" s="83"/>
      <c r="F27" s="83"/>
      <c r="G27" s="83"/>
      <c r="H27" s="82"/>
    </row>
    <row r="28" spans="1:8" ht="16.5" customHeight="1">
      <c r="A28" s="32" t="s">
        <v>119</v>
      </c>
      <c r="B28" s="69">
        <f>SUM(B29:B30)</f>
        <v>25000</v>
      </c>
      <c r="C28" s="110">
        <f>SUM(C29:C30)</f>
        <v>15000</v>
      </c>
      <c r="D28" s="71">
        <f>SUM(D29:D30)</f>
        <v>25000</v>
      </c>
      <c r="E28" s="71">
        <f>SUM(E29:E30)</f>
        <v>60000</v>
      </c>
      <c r="F28" s="71">
        <v>40000</v>
      </c>
      <c r="G28" s="71">
        <v>35000</v>
      </c>
      <c r="H28" s="70">
        <v>20000</v>
      </c>
    </row>
    <row r="29" spans="1:8" ht="16.5" customHeight="1">
      <c r="A29" s="37" t="s">
        <v>53</v>
      </c>
      <c r="B29" s="87">
        <v>25000</v>
      </c>
      <c r="C29" s="117">
        <f>15000-C30</f>
        <v>65000</v>
      </c>
      <c r="D29" s="88">
        <v>90000</v>
      </c>
      <c r="E29" s="88">
        <v>45000</v>
      </c>
      <c r="F29" s="88">
        <v>25000</v>
      </c>
      <c r="G29" s="88">
        <v>20000</v>
      </c>
      <c r="H29" s="80"/>
    </row>
    <row r="30" spans="1:8" ht="16.5" customHeight="1">
      <c r="A30" s="33" t="s">
        <v>52</v>
      </c>
      <c r="B30" s="75"/>
      <c r="C30" s="112">
        <f>-SUM(F30:I30)</f>
        <v>-50000</v>
      </c>
      <c r="D30" s="90">
        <v>-65000</v>
      </c>
      <c r="E30" s="90">
        <v>15000</v>
      </c>
      <c r="F30" s="90">
        <v>15000</v>
      </c>
      <c r="G30" s="90">
        <v>15000</v>
      </c>
      <c r="H30" s="89">
        <v>20000</v>
      </c>
    </row>
    <row r="31" spans="1:8" ht="16.5" customHeight="1">
      <c r="A31" s="98"/>
      <c r="B31" s="81"/>
      <c r="C31" s="115"/>
      <c r="D31" s="83"/>
      <c r="E31" s="83"/>
      <c r="F31" s="83"/>
      <c r="G31" s="83"/>
      <c r="H31" s="82"/>
    </row>
    <row r="32" spans="1:8" ht="16.5" customHeight="1">
      <c r="A32" s="97" t="s">
        <v>122</v>
      </c>
      <c r="B32" s="69">
        <f>+D32+B26</f>
        <v>279515.73000000004</v>
      </c>
      <c r="C32" s="110">
        <f>+F32+C26</f>
        <v>213747.65</v>
      </c>
      <c r="D32" s="71">
        <f>+D26+E32</f>
        <v>264915.73000000004</v>
      </c>
      <c r="E32" s="71">
        <f>+E26+F32</f>
        <v>234091.77000000002</v>
      </c>
      <c r="F32" s="71">
        <v>195147.65</v>
      </c>
      <c r="G32" s="71">
        <v>162828.95</v>
      </c>
      <c r="H32" s="70">
        <v>142030.91</v>
      </c>
    </row>
    <row r="33" spans="1:8" ht="16.5" customHeight="1">
      <c r="A33" s="99" t="s">
        <v>120</v>
      </c>
      <c r="B33" s="72">
        <f>+B32-B34-B35</f>
        <v>67043.36000000006</v>
      </c>
      <c r="C33" s="111">
        <f>+C32-C34-C35</f>
        <v>8575.279999999999</v>
      </c>
      <c r="D33" s="74">
        <v>77743.36</v>
      </c>
      <c r="E33" s="74">
        <f>+E32-E35-E34</f>
        <v>75710.25000000001</v>
      </c>
      <c r="F33" s="74">
        <v>99770.51</v>
      </c>
      <c r="G33" s="74">
        <v>162828.95</v>
      </c>
      <c r="H33" s="73">
        <v>142030.91</v>
      </c>
    </row>
    <row r="34" spans="1:8" ht="16.5" customHeight="1">
      <c r="A34" s="99" t="s">
        <v>121</v>
      </c>
      <c r="B34" s="72">
        <f>+D34+B7</f>
        <v>102424.29</v>
      </c>
      <c r="C34" s="111">
        <f>+D34+C7</f>
        <v>105124.29</v>
      </c>
      <c r="D34" s="74">
        <v>102124.29</v>
      </c>
      <c r="E34" s="74">
        <v>98381.52</v>
      </c>
      <c r="F34" s="74">
        <v>95377.14</v>
      </c>
      <c r="G34" s="74"/>
      <c r="H34" s="73"/>
    </row>
    <row r="35" spans="1:8" ht="16.5" customHeight="1">
      <c r="A35" s="100" t="s">
        <v>166</v>
      </c>
      <c r="B35" s="92">
        <f>+D35+B28</f>
        <v>110048.08</v>
      </c>
      <c r="C35" s="118">
        <f>+D35+C28</f>
        <v>100048.08</v>
      </c>
      <c r="D35" s="94">
        <v>85048.08</v>
      </c>
      <c r="E35" s="94">
        <f>60000</f>
        <v>60000</v>
      </c>
      <c r="F35" s="94"/>
      <c r="G35" s="94"/>
      <c r="H35" s="93"/>
    </row>
    <row r="36" spans="1:8" ht="16.5" customHeight="1">
      <c r="A36" s="35"/>
      <c r="B36" s="81"/>
      <c r="C36" s="115"/>
      <c r="D36" s="83"/>
      <c r="E36" s="83"/>
      <c r="F36" s="83"/>
      <c r="G36" s="83"/>
      <c r="H36" s="82"/>
    </row>
    <row r="37" spans="1:8" ht="16.5" customHeight="1">
      <c r="A37" s="32" t="s">
        <v>134</v>
      </c>
      <c r="B37" s="69">
        <v>1500</v>
      </c>
      <c r="C37" s="110">
        <v>1500</v>
      </c>
      <c r="D37" s="71">
        <v>1500</v>
      </c>
      <c r="E37" s="71">
        <v>2000</v>
      </c>
      <c r="F37" s="71">
        <v>2000</v>
      </c>
      <c r="G37" s="71">
        <v>2000</v>
      </c>
      <c r="H37" s="70">
        <v>1800</v>
      </c>
    </row>
    <row r="38" spans="1:8" ht="16.5" customHeight="1">
      <c r="A38" s="34"/>
      <c r="B38" s="95"/>
      <c r="C38" s="119"/>
      <c r="D38" s="94"/>
      <c r="E38" s="94"/>
      <c r="F38" s="94"/>
      <c r="G38" s="94"/>
      <c r="H38" s="93"/>
    </row>
    <row r="39" ht="19.5" customHeight="1">
      <c r="A39" s="31" t="s">
        <v>151</v>
      </c>
    </row>
    <row r="40" spans="1:8" ht="21.75" customHeight="1">
      <c r="A40" s="236" t="s">
        <v>172</v>
      </c>
      <c r="B40" s="236"/>
      <c r="C40" s="236"/>
      <c r="D40" s="236"/>
      <c r="E40" s="236"/>
      <c r="F40" s="236"/>
      <c r="G40" s="236"/>
      <c r="H40" s="236"/>
    </row>
    <row r="41" ht="12.75" customHeight="1"/>
    <row r="42" spans="1:3" ht="12.75">
      <c r="A42" s="31" t="s">
        <v>174</v>
      </c>
      <c r="B42" s="31" t="s">
        <v>173</v>
      </c>
      <c r="C42" s="105">
        <f>+E28+F28+G28+H28+D28</f>
        <v>180000</v>
      </c>
    </row>
    <row r="43" ht="12.75">
      <c r="D43" s="105"/>
    </row>
    <row r="45" spans="1:6" ht="12.75">
      <c r="A45" s="31" t="s">
        <v>186</v>
      </c>
      <c r="F45" s="30">
        <f>+C42+B28</f>
        <v>205000</v>
      </c>
    </row>
    <row r="46" spans="1:6" ht="12.75">
      <c r="A46" s="31" t="s">
        <v>187</v>
      </c>
      <c r="F46" s="30">
        <f>+F45-B34-B35</f>
        <v>-7472.369999999995</v>
      </c>
    </row>
  </sheetData>
  <sheetProtection/>
  <mergeCells count="3">
    <mergeCell ref="B1:C1"/>
    <mergeCell ref="E1:H1"/>
    <mergeCell ref="A40:H40"/>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Winnie</dc:creator>
  <cp:keywords/>
  <dc:description/>
  <cp:lastModifiedBy>Kjar Per</cp:lastModifiedBy>
  <cp:lastPrinted>2018-10-06T09:27:28Z</cp:lastPrinted>
  <dcterms:created xsi:type="dcterms:W3CDTF">2009-10-19T17:52:50Z</dcterms:created>
  <dcterms:modified xsi:type="dcterms:W3CDTF">2018-10-22T11:59:55Z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Regnskab 01okt2014 - 30sep2015.xls</vt:lpwstr>
  </property>
</Properties>
</file>